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us12006\Desktop\"/>
    </mc:Choice>
  </mc:AlternateContent>
  <bookViews>
    <workbookView xWindow="0" yWindow="0" windowWidth="19200" windowHeight="8040"/>
  </bookViews>
  <sheets>
    <sheet name="計算シート" sheetId="1" r:id="rId1"/>
    <sheet name="用語集" sheetId="9" r:id="rId2"/>
    <sheet name="年金計算" sheetId="3" state="hidden" r:id="rId3"/>
    <sheet name="給与計算" sheetId="2" state="hidden" r:id="rId4"/>
    <sheet name="給与・年金" sheetId="5" r:id="rId5"/>
    <sheet name="申告書" sheetId="7" r:id="rId6"/>
    <sheet name="個人明細" sheetId="4" state="hidden" r:id="rId7"/>
    <sheet name="日付" sheetId="8" state="hidden" r:id="rId8"/>
  </sheets>
  <definedNames>
    <definedName name="_xlnm.Print_Area" localSheetId="0">計算シート!$A$1:$BE$41</definedName>
    <definedName name="_xlnm.Print_Area" localSheetId="2">年金計算!$A$1:$I$149</definedName>
  </definedNames>
  <calcPr calcId="162913"/>
</workbook>
</file>

<file path=xl/calcChain.xml><?xml version="1.0" encoding="utf-8"?>
<calcChain xmlns="http://schemas.openxmlformats.org/spreadsheetml/2006/main">
  <c r="DY12" i="1" l="1"/>
  <c r="DY13" i="1" s="1"/>
  <c r="DY14" i="1" s="1"/>
  <c r="DY16" i="1"/>
  <c r="DY17" i="1"/>
  <c r="DY18" i="1"/>
  <c r="DY19" i="1"/>
  <c r="DY20" i="1"/>
  <c r="DY15" i="1"/>
  <c r="AH10" i="1" l="1"/>
  <c r="AH21" i="1"/>
  <c r="AH12" i="1"/>
  <c r="AH13" i="1"/>
  <c r="AH14" i="1"/>
  <c r="AH15" i="1"/>
  <c r="AH16" i="1"/>
  <c r="AH17" i="1"/>
  <c r="AH18" i="1"/>
  <c r="AH19" i="1"/>
  <c r="AH20" i="1"/>
  <c r="AH11" i="1"/>
  <c r="DY11" i="1" l="1"/>
  <c r="C15" i="8"/>
  <c r="B15" i="8"/>
  <c r="EF11" i="1"/>
  <c r="C343" i="4" l="1"/>
  <c r="C308" i="4"/>
  <c r="C273" i="4"/>
  <c r="C238" i="4"/>
  <c r="C203" i="4"/>
  <c r="C168" i="4"/>
  <c r="C133" i="4"/>
  <c r="C98" i="4"/>
  <c r="C63" i="4"/>
  <c r="C28" i="4"/>
  <c r="DY23" i="1" l="1"/>
  <c r="DZ11" i="1" s="1"/>
  <c r="DT9" i="1"/>
  <c r="DZ12" i="1" l="1"/>
  <c r="EB12" i="1" s="1"/>
  <c r="DZ13" i="1"/>
  <c r="EB13" i="1" s="1"/>
  <c r="DZ20" i="1"/>
  <c r="EB20" i="1" s="1"/>
  <c r="DZ19" i="1"/>
  <c r="EB19" i="1" s="1"/>
  <c r="DZ18" i="1"/>
  <c r="EB18" i="1" s="1"/>
  <c r="DZ17" i="1"/>
  <c r="EB17" i="1" s="1"/>
  <c r="DZ16" i="1"/>
  <c r="EB16" i="1" s="1"/>
  <c r="DZ15" i="1"/>
  <c r="EB15" i="1" s="1"/>
  <c r="DZ14" i="1"/>
  <c r="EB14" i="1" s="1"/>
  <c r="EB11" i="1"/>
  <c r="DT13" i="1"/>
  <c r="DT14" i="1"/>
  <c r="DT15" i="1"/>
  <c r="DT16" i="1"/>
  <c r="DT17" i="1"/>
  <c r="DT18" i="1"/>
  <c r="DT19" i="1"/>
  <c r="DT20" i="1"/>
  <c r="DT21" i="1"/>
  <c r="DT11" i="1"/>
  <c r="DT12" i="1"/>
  <c r="K20" i="1"/>
  <c r="K19" i="1"/>
  <c r="K18" i="1"/>
  <c r="K17" i="1"/>
  <c r="K16" i="1"/>
  <c r="DZ23" i="1" l="1"/>
  <c r="BH4" i="1"/>
  <c r="EF12" i="1" l="1"/>
  <c r="F44" i="4" s="1"/>
  <c r="F67" i="4" s="1"/>
  <c r="EF14" i="1"/>
  <c r="F114" i="4" s="1"/>
  <c r="F137" i="4" s="1"/>
  <c r="EF15" i="1"/>
  <c r="F149" i="4" s="1"/>
  <c r="F172" i="4" s="1"/>
  <c r="EF16" i="1"/>
  <c r="F184" i="4" s="1"/>
  <c r="F207" i="4" s="1"/>
  <c r="EF17" i="1"/>
  <c r="F219" i="4" s="1"/>
  <c r="F242" i="4" s="1"/>
  <c r="EF18" i="1"/>
  <c r="F254" i="4" s="1"/>
  <c r="F277" i="4" s="1"/>
  <c r="EF19" i="1"/>
  <c r="F289" i="4" s="1"/>
  <c r="F312" i="4" s="1"/>
  <c r="EF20" i="1"/>
  <c r="F324" i="4" s="1"/>
  <c r="F347" i="4" s="1"/>
  <c r="F331" i="4" l="1"/>
  <c r="F345" i="4"/>
  <c r="F296" i="4"/>
  <c r="F310" i="4"/>
  <c r="F261" i="4"/>
  <c r="F275" i="4"/>
  <c r="F226" i="4"/>
  <c r="F240" i="4"/>
  <c r="F191" i="4"/>
  <c r="F205" i="4"/>
  <c r="F156" i="4"/>
  <c r="F170" i="4"/>
  <c r="F121" i="4"/>
  <c r="F135" i="4"/>
  <c r="F51" i="4"/>
  <c r="F65" i="4"/>
  <c r="F9" i="4"/>
  <c r="F32" i="4" s="1"/>
  <c r="EF13" i="1"/>
  <c r="F79" i="4" s="1"/>
  <c r="F102" i="4" s="1"/>
  <c r="F30" i="4" l="1"/>
  <c r="F16" i="4"/>
  <c r="F86" i="4"/>
  <c r="F100" i="4"/>
  <c r="D137" i="3"/>
  <c r="A138" i="3" s="1"/>
  <c r="D122" i="3"/>
  <c r="A123" i="3" s="1"/>
  <c r="D107" i="3"/>
  <c r="A108" i="3" s="1"/>
  <c r="D92" i="3"/>
  <c r="A93" i="3" s="1"/>
  <c r="D77" i="3"/>
  <c r="A78" i="3" s="1"/>
  <c r="D62" i="3"/>
  <c r="A63" i="3" s="1"/>
  <c r="D47" i="3"/>
  <c r="A48" i="3" s="1"/>
  <c r="D32" i="3"/>
  <c r="A33" i="3" s="1"/>
  <c r="D17" i="3"/>
  <c r="A18" i="3" s="1"/>
  <c r="D2" i="3"/>
  <c r="A3" i="3" s="1"/>
  <c r="D138" i="3" l="1"/>
  <c r="D136" i="3"/>
  <c r="D123" i="3" l="1"/>
  <c r="D121" i="3"/>
  <c r="D108" i="3"/>
  <c r="D106" i="3"/>
  <c r="D93" i="3" l="1"/>
  <c r="D91" i="3"/>
  <c r="D78" i="3"/>
  <c r="D76" i="3"/>
  <c r="D61" i="3"/>
  <c r="D46" i="3" l="1"/>
  <c r="D31" i="3"/>
  <c r="D16" i="3"/>
  <c r="D1" i="3"/>
  <c r="I149" i="3"/>
  <c r="G149" i="3"/>
  <c r="I148" i="3"/>
  <c r="G148" i="3"/>
  <c r="I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E147" i="3"/>
  <c r="I134" i="3"/>
  <c r="G134" i="3"/>
  <c r="I133" i="3"/>
  <c r="G133" i="3"/>
  <c r="I132" i="3"/>
  <c r="G132" i="3"/>
  <c r="I131" i="3"/>
  <c r="G131" i="3"/>
  <c r="I130" i="3"/>
  <c r="G130" i="3"/>
  <c r="I129" i="3"/>
  <c r="G129" i="3"/>
  <c r="I128" i="3"/>
  <c r="G128" i="3"/>
  <c r="I127" i="3"/>
  <c r="G127" i="3"/>
  <c r="I126" i="3"/>
  <c r="G126" i="3"/>
  <c r="I125" i="3"/>
  <c r="G125" i="3"/>
  <c r="E132" i="3"/>
  <c r="I119" i="3"/>
  <c r="G119" i="3"/>
  <c r="I118" i="3"/>
  <c r="G118" i="3"/>
  <c r="I117" i="3"/>
  <c r="G117" i="3"/>
  <c r="I116" i="3"/>
  <c r="G116" i="3"/>
  <c r="I115" i="3"/>
  <c r="G115" i="3"/>
  <c r="I114" i="3"/>
  <c r="G114" i="3"/>
  <c r="I113" i="3"/>
  <c r="G113" i="3"/>
  <c r="I112" i="3"/>
  <c r="G112" i="3"/>
  <c r="I111" i="3"/>
  <c r="G111" i="3"/>
  <c r="I110" i="3"/>
  <c r="G110" i="3"/>
  <c r="E117" i="3"/>
  <c r="I104" i="3"/>
  <c r="G104" i="3"/>
  <c r="I103" i="3"/>
  <c r="G103" i="3"/>
  <c r="I102" i="3"/>
  <c r="G102" i="3"/>
  <c r="I101" i="3"/>
  <c r="G101" i="3"/>
  <c r="I100" i="3"/>
  <c r="G100" i="3"/>
  <c r="I99" i="3"/>
  <c r="G99" i="3"/>
  <c r="I98" i="3"/>
  <c r="G98" i="3"/>
  <c r="I97" i="3"/>
  <c r="G97" i="3"/>
  <c r="I96" i="3"/>
  <c r="G96" i="3"/>
  <c r="I95" i="3"/>
  <c r="G95" i="3"/>
  <c r="E102" i="3"/>
  <c r="I89" i="3"/>
  <c r="G89" i="3"/>
  <c r="I88" i="3"/>
  <c r="G88" i="3"/>
  <c r="I87" i="3"/>
  <c r="G87" i="3"/>
  <c r="I86" i="3"/>
  <c r="G86" i="3"/>
  <c r="I85" i="3"/>
  <c r="G85" i="3"/>
  <c r="I84" i="3"/>
  <c r="G84" i="3"/>
  <c r="I83" i="3"/>
  <c r="G83" i="3"/>
  <c r="I82" i="3"/>
  <c r="G82" i="3"/>
  <c r="I81" i="3"/>
  <c r="G81" i="3"/>
  <c r="I80" i="3"/>
  <c r="G80" i="3"/>
  <c r="E87" i="3"/>
  <c r="E101" i="3" l="1"/>
  <c r="E97" i="3"/>
  <c r="E104" i="3"/>
  <c r="E141" i="3"/>
  <c r="E145" i="3"/>
  <c r="E149" i="3"/>
  <c r="E142" i="3"/>
  <c r="E146" i="3"/>
  <c r="E140" i="3"/>
  <c r="E144" i="3"/>
  <c r="E148" i="3"/>
  <c r="E143" i="3"/>
  <c r="E126" i="3"/>
  <c r="E130" i="3"/>
  <c r="E134" i="3"/>
  <c r="E127" i="3"/>
  <c r="E125" i="3"/>
  <c r="E129" i="3"/>
  <c r="E133" i="3"/>
  <c r="E131" i="3"/>
  <c r="E128" i="3"/>
  <c r="E111" i="3"/>
  <c r="E115" i="3"/>
  <c r="E119" i="3"/>
  <c r="E112" i="3"/>
  <c r="E116" i="3"/>
  <c r="E110" i="3"/>
  <c r="E114" i="3"/>
  <c r="E118" i="3"/>
  <c r="E113" i="3"/>
  <c r="E96" i="3"/>
  <c r="E100" i="3"/>
  <c r="E95" i="3"/>
  <c r="E99" i="3"/>
  <c r="E103" i="3"/>
  <c r="E98" i="3"/>
  <c r="E81" i="3"/>
  <c r="E85" i="3"/>
  <c r="E89" i="3"/>
  <c r="E82" i="3"/>
  <c r="E80" i="3"/>
  <c r="E84" i="3"/>
  <c r="E88" i="3"/>
  <c r="E86" i="3"/>
  <c r="E83" i="3"/>
  <c r="S11" i="1"/>
  <c r="S20" i="1"/>
  <c r="S19" i="1"/>
  <c r="S18" i="1"/>
  <c r="S17" i="1"/>
  <c r="S16" i="1"/>
  <c r="S15" i="1"/>
  <c r="S14" i="1"/>
  <c r="S13" i="1"/>
  <c r="S12" i="1"/>
  <c r="G136" i="3" l="1"/>
  <c r="T20" i="1" s="1"/>
  <c r="EE20" i="1" s="1"/>
  <c r="AB20" i="1" s="1"/>
  <c r="G121" i="3"/>
  <c r="T19" i="1" s="1"/>
  <c r="EE19" i="1" s="1"/>
  <c r="AB19" i="1" s="1"/>
  <c r="G106" i="3"/>
  <c r="T18" i="1" s="1"/>
  <c r="EE18" i="1" s="1"/>
  <c r="AB18" i="1" s="1"/>
  <c r="G91" i="3"/>
  <c r="T17" i="1" s="1"/>
  <c r="EE17" i="1" s="1"/>
  <c r="AB17" i="1" s="1"/>
  <c r="G76" i="3"/>
  <c r="T16" i="1" s="1"/>
  <c r="EE16" i="1" s="1"/>
  <c r="AB16" i="1" s="1"/>
  <c r="AD7" i="1" l="1"/>
  <c r="C24" i="2"/>
  <c r="C101" i="2"/>
  <c r="C90" i="2"/>
  <c r="C79" i="2"/>
  <c r="C68" i="2"/>
  <c r="C57" i="2"/>
  <c r="C46" i="2"/>
  <c r="C35" i="2"/>
  <c r="C13" i="2"/>
  <c r="C13" i="8" l="1"/>
  <c r="C11" i="8"/>
  <c r="C10" i="8"/>
  <c r="C9" i="8"/>
  <c r="C8" i="8"/>
  <c r="C7" i="8"/>
  <c r="C6" i="8"/>
  <c r="C5" i="8"/>
  <c r="C4" i="8"/>
  <c r="C3" i="8"/>
  <c r="C2" i="8"/>
  <c r="AX2" i="1" l="1"/>
  <c r="AC7" i="1" l="1"/>
  <c r="I7" i="1"/>
  <c r="DU21" i="1" l="1"/>
  <c r="DU18" i="1" l="1"/>
  <c r="ED18" i="1"/>
  <c r="EC18" i="1"/>
  <c r="DU20" i="1"/>
  <c r="ED20" i="1"/>
  <c r="EC20" i="1"/>
  <c r="DU17" i="1"/>
  <c r="EC17" i="1"/>
  <c r="ED17" i="1"/>
  <c r="DU19" i="1"/>
  <c r="EC19" i="1"/>
  <c r="ED19" i="1"/>
  <c r="DU16" i="1"/>
  <c r="ED16" i="1"/>
  <c r="EC16" i="1"/>
  <c r="AK36" i="1"/>
  <c r="AK37" i="1"/>
  <c r="AK38" i="1"/>
  <c r="AK30" i="1"/>
  <c r="AK31" i="1"/>
  <c r="AK32" i="1"/>
  <c r="AK33" i="1"/>
  <c r="AK34" i="1"/>
  <c r="AK35" i="1"/>
  <c r="AK29" i="1"/>
  <c r="AK39" i="1"/>
  <c r="AK40" i="1"/>
  <c r="AK41" i="1"/>
  <c r="B3" i="8" l="1"/>
  <c r="B4" i="8"/>
  <c r="B5" i="8"/>
  <c r="B6" i="8"/>
  <c r="B7" i="8"/>
  <c r="B8" i="8"/>
  <c r="B9" i="8"/>
  <c r="B10" i="8"/>
  <c r="B11" i="8"/>
  <c r="B12" i="8"/>
  <c r="B13" i="8"/>
  <c r="B2" i="8"/>
  <c r="DB21" i="1" l="1"/>
  <c r="DO21" i="1" s="1"/>
  <c r="AZ21" i="1" s="1"/>
  <c r="DB15" i="1"/>
  <c r="DO15" i="1" s="1"/>
  <c r="AZ15" i="1" s="1"/>
  <c r="DB19" i="1"/>
  <c r="DO19" i="1" s="1"/>
  <c r="AZ19" i="1" s="1"/>
  <c r="DB12" i="1"/>
  <c r="DO12" i="1" s="1"/>
  <c r="AZ12" i="1" s="1"/>
  <c r="DB16" i="1"/>
  <c r="DO16" i="1" s="1"/>
  <c r="AZ16" i="1" s="1"/>
  <c r="DB20" i="1"/>
  <c r="DO20" i="1" s="1"/>
  <c r="AZ20" i="1" s="1"/>
  <c r="DB13" i="1"/>
  <c r="DO13" i="1" s="1"/>
  <c r="AZ13" i="1" s="1"/>
  <c r="DB17" i="1"/>
  <c r="DO17" i="1" s="1"/>
  <c r="AZ17" i="1" s="1"/>
  <c r="DB11" i="1"/>
  <c r="DO11" i="1" s="1"/>
  <c r="AZ11" i="1" s="1"/>
  <c r="DB14" i="1"/>
  <c r="DO14" i="1" s="1"/>
  <c r="AZ14" i="1" s="1"/>
  <c r="DB18" i="1"/>
  <c r="DO18" i="1" s="1"/>
  <c r="AZ18" i="1" s="1"/>
  <c r="DA13" i="1"/>
  <c r="DN13" i="1" s="1"/>
  <c r="AY13" i="1" s="1"/>
  <c r="DA15" i="1"/>
  <c r="DN15" i="1" s="1"/>
  <c r="AY15" i="1" s="1"/>
  <c r="DA17" i="1"/>
  <c r="DN17" i="1" s="1"/>
  <c r="AY17" i="1" s="1"/>
  <c r="DA19" i="1"/>
  <c r="DN19" i="1" s="1"/>
  <c r="AY19" i="1" s="1"/>
  <c r="DA11" i="1"/>
  <c r="DN11" i="1" s="1"/>
  <c r="AY11" i="1" s="1"/>
  <c r="DA21" i="1"/>
  <c r="DN21" i="1" s="1"/>
  <c r="AY21" i="1" s="1"/>
  <c r="DA12" i="1"/>
  <c r="DN12" i="1" s="1"/>
  <c r="AY12" i="1" s="1"/>
  <c r="DA14" i="1"/>
  <c r="DN14" i="1" s="1"/>
  <c r="AY14" i="1" s="1"/>
  <c r="DA16" i="1"/>
  <c r="DN16" i="1" s="1"/>
  <c r="AY16" i="1" s="1"/>
  <c r="DA18" i="1"/>
  <c r="DN18" i="1" s="1"/>
  <c r="AY18" i="1" s="1"/>
  <c r="DA20" i="1"/>
  <c r="DN20" i="1" s="1"/>
  <c r="AY20" i="1" s="1"/>
  <c r="CZ15" i="1"/>
  <c r="DM15" i="1" s="1"/>
  <c r="AX15" i="1" s="1"/>
  <c r="CZ19" i="1"/>
  <c r="DM19" i="1" s="1"/>
  <c r="AX19" i="1" s="1"/>
  <c r="CZ11" i="1"/>
  <c r="DM11" i="1" s="1"/>
  <c r="AX11" i="1" s="1"/>
  <c r="CZ13" i="1"/>
  <c r="DM13" i="1" s="1"/>
  <c r="AX13" i="1" s="1"/>
  <c r="CZ20" i="1"/>
  <c r="DM20" i="1" s="1"/>
  <c r="AX20" i="1" s="1"/>
  <c r="CZ21" i="1"/>
  <c r="DM21" i="1" s="1"/>
  <c r="AX21" i="1" s="1"/>
  <c r="CZ14" i="1"/>
  <c r="DM14" i="1" s="1"/>
  <c r="AX14" i="1" s="1"/>
  <c r="CZ18" i="1"/>
  <c r="DM18" i="1" s="1"/>
  <c r="AX18" i="1" s="1"/>
  <c r="CZ17" i="1"/>
  <c r="DM17" i="1" s="1"/>
  <c r="AX17" i="1" s="1"/>
  <c r="CZ12" i="1"/>
  <c r="DM12" i="1" s="1"/>
  <c r="AX12" i="1" s="1"/>
  <c r="CZ16" i="1"/>
  <c r="DM16" i="1" s="1"/>
  <c r="AX16" i="1" s="1"/>
  <c r="CY21" i="1"/>
  <c r="DL21" i="1" s="1"/>
  <c r="AW21" i="1" s="1"/>
  <c r="CY11" i="1"/>
  <c r="DL11" i="1" s="1"/>
  <c r="AW11" i="1" s="1"/>
  <c r="CY12" i="1"/>
  <c r="DL12" i="1" s="1"/>
  <c r="AW12" i="1" s="1"/>
  <c r="CY13" i="1"/>
  <c r="DL13" i="1" s="1"/>
  <c r="AW13" i="1" s="1"/>
  <c r="CY14" i="1"/>
  <c r="DL14" i="1" s="1"/>
  <c r="AW14" i="1" s="1"/>
  <c r="CY15" i="1"/>
  <c r="DL15" i="1" s="1"/>
  <c r="AW15" i="1" s="1"/>
  <c r="CY16" i="1"/>
  <c r="DL16" i="1" s="1"/>
  <c r="AW16" i="1" s="1"/>
  <c r="CY17" i="1"/>
  <c r="DL17" i="1" s="1"/>
  <c r="AW17" i="1" s="1"/>
  <c r="CY18" i="1"/>
  <c r="DL18" i="1" s="1"/>
  <c r="AW18" i="1" s="1"/>
  <c r="CY19" i="1"/>
  <c r="DL19" i="1" s="1"/>
  <c r="AW19" i="1" s="1"/>
  <c r="CY20" i="1"/>
  <c r="DL20" i="1" s="1"/>
  <c r="AW20" i="1" s="1"/>
  <c r="CX14" i="1"/>
  <c r="DK14" i="1" s="1"/>
  <c r="AV14" i="1" s="1"/>
  <c r="CX18" i="1"/>
  <c r="DK18" i="1" s="1"/>
  <c r="AV18" i="1" s="1"/>
  <c r="CX12" i="1"/>
  <c r="DK12" i="1" s="1"/>
  <c r="AV12" i="1" s="1"/>
  <c r="CX21" i="1"/>
  <c r="DK21" i="1" s="1"/>
  <c r="AV21" i="1" s="1"/>
  <c r="CX15" i="1"/>
  <c r="DK15" i="1" s="1"/>
  <c r="AV15" i="1" s="1"/>
  <c r="CX19" i="1"/>
  <c r="DK19" i="1" s="1"/>
  <c r="AV19" i="1" s="1"/>
  <c r="CX16" i="1"/>
  <c r="DK16" i="1" s="1"/>
  <c r="AV16" i="1" s="1"/>
  <c r="CX20" i="1"/>
  <c r="DK20" i="1" s="1"/>
  <c r="AV20" i="1" s="1"/>
  <c r="CX13" i="1"/>
  <c r="DK13" i="1" s="1"/>
  <c r="AV13" i="1" s="1"/>
  <c r="CX17" i="1"/>
  <c r="DK17" i="1" s="1"/>
  <c r="AV17" i="1" s="1"/>
  <c r="CX11" i="1"/>
  <c r="DK11" i="1" s="1"/>
  <c r="AV11" i="1" s="1"/>
  <c r="CW12" i="1"/>
  <c r="DJ12" i="1" s="1"/>
  <c r="AU12" i="1" s="1"/>
  <c r="CW14" i="1"/>
  <c r="DJ14" i="1" s="1"/>
  <c r="AU14" i="1" s="1"/>
  <c r="CW16" i="1"/>
  <c r="DJ16" i="1" s="1"/>
  <c r="AU16" i="1" s="1"/>
  <c r="CW18" i="1"/>
  <c r="DJ18" i="1" s="1"/>
  <c r="CW20" i="1"/>
  <c r="DJ20" i="1" s="1"/>
  <c r="AU20" i="1" s="1"/>
  <c r="CW21" i="1"/>
  <c r="DJ21" i="1" s="1"/>
  <c r="AU21" i="1" s="1"/>
  <c r="AU18" i="1"/>
  <c r="CW13" i="1"/>
  <c r="DJ13" i="1" s="1"/>
  <c r="AU13" i="1" s="1"/>
  <c r="CW15" i="1"/>
  <c r="DJ15" i="1" s="1"/>
  <c r="AU15" i="1" s="1"/>
  <c r="CW17" i="1"/>
  <c r="DJ17" i="1" s="1"/>
  <c r="AU17" i="1" s="1"/>
  <c r="CW19" i="1"/>
  <c r="DJ19" i="1" s="1"/>
  <c r="AU19" i="1" s="1"/>
  <c r="CW11" i="1"/>
  <c r="DJ11" i="1" s="1"/>
  <c r="AU11" i="1" s="1"/>
  <c r="CV15" i="1"/>
  <c r="DI15" i="1" s="1"/>
  <c r="AT15" i="1" s="1"/>
  <c r="CV19" i="1"/>
  <c r="DI19" i="1" s="1"/>
  <c r="AT19" i="1" s="1"/>
  <c r="CV11" i="1"/>
  <c r="DI11" i="1" s="1"/>
  <c r="AT11" i="1" s="1"/>
  <c r="CV20" i="1"/>
  <c r="DI20" i="1" s="1"/>
  <c r="AT20" i="1" s="1"/>
  <c r="CV21" i="1"/>
  <c r="DI21" i="1" s="1"/>
  <c r="AT21" i="1" s="1"/>
  <c r="CV14" i="1"/>
  <c r="DI14" i="1" s="1"/>
  <c r="AT14" i="1" s="1"/>
  <c r="CV18" i="1"/>
  <c r="DI18" i="1" s="1"/>
  <c r="AT18" i="1" s="1"/>
  <c r="CV13" i="1"/>
  <c r="DI13" i="1" s="1"/>
  <c r="AT13" i="1" s="1"/>
  <c r="CV17" i="1"/>
  <c r="DI17" i="1" s="1"/>
  <c r="AT17" i="1" s="1"/>
  <c r="CV12" i="1"/>
  <c r="DI12" i="1" s="1"/>
  <c r="AT12" i="1" s="1"/>
  <c r="CV16" i="1"/>
  <c r="DI16" i="1" s="1"/>
  <c r="AT16" i="1" s="1"/>
  <c r="CU12" i="1"/>
  <c r="DH12" i="1" s="1"/>
  <c r="AS12" i="1" s="1"/>
  <c r="CU13" i="1"/>
  <c r="DH13" i="1" s="1"/>
  <c r="AS13" i="1" s="1"/>
  <c r="CU14" i="1"/>
  <c r="DH14" i="1" s="1"/>
  <c r="AS14" i="1" s="1"/>
  <c r="CU15" i="1"/>
  <c r="DH15" i="1" s="1"/>
  <c r="AS15" i="1" s="1"/>
  <c r="CU16" i="1"/>
  <c r="DH16" i="1" s="1"/>
  <c r="AS16" i="1" s="1"/>
  <c r="CU17" i="1"/>
  <c r="DH17" i="1" s="1"/>
  <c r="AS17" i="1" s="1"/>
  <c r="CU18" i="1"/>
  <c r="DH18" i="1" s="1"/>
  <c r="AS18" i="1" s="1"/>
  <c r="CU19" i="1"/>
  <c r="DH19" i="1" s="1"/>
  <c r="AS19" i="1" s="1"/>
  <c r="CU20" i="1"/>
  <c r="DH20" i="1" s="1"/>
  <c r="AS20" i="1" s="1"/>
  <c r="CU21" i="1"/>
  <c r="DH21" i="1" s="1"/>
  <c r="AS21" i="1" s="1"/>
  <c r="CU11" i="1"/>
  <c r="DH11" i="1" s="1"/>
  <c r="AS11" i="1" s="1"/>
  <c r="CT21" i="1"/>
  <c r="DG21" i="1" s="1"/>
  <c r="AR21" i="1" s="1"/>
  <c r="CT12" i="1"/>
  <c r="DG12" i="1" s="1"/>
  <c r="AR12" i="1" s="1"/>
  <c r="CT16" i="1"/>
  <c r="DG16" i="1" s="1"/>
  <c r="AR16" i="1" s="1"/>
  <c r="CT20" i="1"/>
  <c r="DG20" i="1" s="1"/>
  <c r="AR20" i="1" s="1"/>
  <c r="CT13" i="1"/>
  <c r="DG13" i="1" s="1"/>
  <c r="AR13" i="1" s="1"/>
  <c r="CT17" i="1"/>
  <c r="DG17" i="1" s="1"/>
  <c r="AR17" i="1" s="1"/>
  <c r="CT11" i="1"/>
  <c r="DG11" i="1" s="1"/>
  <c r="AR11" i="1" s="1"/>
  <c r="CT14" i="1"/>
  <c r="DG14" i="1" s="1"/>
  <c r="AR14" i="1" s="1"/>
  <c r="CT18" i="1"/>
  <c r="DG18" i="1" s="1"/>
  <c r="AR18" i="1" s="1"/>
  <c r="CT15" i="1"/>
  <c r="DG15" i="1" s="1"/>
  <c r="AR15" i="1" s="1"/>
  <c r="CT19" i="1"/>
  <c r="DG19" i="1" s="1"/>
  <c r="AR19" i="1" s="1"/>
  <c r="CS21" i="1"/>
  <c r="DF21" i="1" s="1"/>
  <c r="AQ21" i="1" s="1"/>
  <c r="CS13" i="1"/>
  <c r="DF13" i="1" s="1"/>
  <c r="AQ13" i="1" s="1"/>
  <c r="CS15" i="1"/>
  <c r="DF15" i="1" s="1"/>
  <c r="AQ15" i="1" s="1"/>
  <c r="CS17" i="1"/>
  <c r="DF17" i="1" s="1"/>
  <c r="AQ17" i="1" s="1"/>
  <c r="CS19" i="1"/>
  <c r="DF19" i="1" s="1"/>
  <c r="AQ19" i="1" s="1"/>
  <c r="CS11" i="1"/>
  <c r="DF11" i="1" s="1"/>
  <c r="AQ11" i="1" s="1"/>
  <c r="CS12" i="1"/>
  <c r="DF12" i="1" s="1"/>
  <c r="AQ12" i="1" s="1"/>
  <c r="CS14" i="1"/>
  <c r="DF14" i="1" s="1"/>
  <c r="AQ14" i="1" s="1"/>
  <c r="CS16" i="1"/>
  <c r="DF16" i="1" s="1"/>
  <c r="AQ16" i="1" s="1"/>
  <c r="CS18" i="1"/>
  <c r="DF18" i="1" s="1"/>
  <c r="AQ18" i="1" s="1"/>
  <c r="CS20" i="1"/>
  <c r="DF20" i="1" s="1"/>
  <c r="AQ20" i="1" s="1"/>
  <c r="CR21" i="1"/>
  <c r="DE21" i="1" s="1"/>
  <c r="AP21" i="1" s="1"/>
  <c r="CR13" i="1"/>
  <c r="DE13" i="1" s="1"/>
  <c r="AP13" i="1" s="1"/>
  <c r="CR17" i="1"/>
  <c r="DE17" i="1" s="1"/>
  <c r="CR15" i="1"/>
  <c r="DE15" i="1" s="1"/>
  <c r="AP15" i="1" s="1"/>
  <c r="CR19" i="1"/>
  <c r="DE19" i="1" s="1"/>
  <c r="CR11" i="1"/>
  <c r="DE11" i="1" s="1"/>
  <c r="AP11" i="1" s="1"/>
  <c r="CR18" i="1"/>
  <c r="DE18" i="1" s="1"/>
  <c r="AP18" i="1" s="1"/>
  <c r="AP17" i="1"/>
  <c r="CR12" i="1"/>
  <c r="DE12" i="1" s="1"/>
  <c r="AP12" i="1" s="1"/>
  <c r="CR16" i="1"/>
  <c r="DE16" i="1" s="1"/>
  <c r="AP16" i="1" s="1"/>
  <c r="CR20" i="1"/>
  <c r="DE20" i="1" s="1"/>
  <c r="AP20" i="1" s="1"/>
  <c r="AP19" i="1"/>
  <c r="CR14" i="1"/>
  <c r="DE14" i="1" s="1"/>
  <c r="AP14" i="1" s="1"/>
  <c r="CQ21" i="1"/>
  <c r="DD21" i="1" s="1"/>
  <c r="AO21" i="1" s="1"/>
  <c r="CQ11" i="1"/>
  <c r="DD11" i="1" s="1"/>
  <c r="AO11" i="1" s="1"/>
  <c r="CQ12" i="1"/>
  <c r="DD12" i="1" s="1"/>
  <c r="AO12" i="1" s="1"/>
  <c r="CQ13" i="1"/>
  <c r="DD13" i="1" s="1"/>
  <c r="AO13" i="1" s="1"/>
  <c r="CQ14" i="1"/>
  <c r="DD14" i="1" s="1"/>
  <c r="AO14" i="1" s="1"/>
  <c r="CQ15" i="1"/>
  <c r="DD15" i="1" s="1"/>
  <c r="AO15" i="1" s="1"/>
  <c r="CQ16" i="1"/>
  <c r="DD16" i="1" s="1"/>
  <c r="AO16" i="1" s="1"/>
  <c r="CQ17" i="1"/>
  <c r="DD17" i="1" s="1"/>
  <c r="AO17" i="1" s="1"/>
  <c r="CQ18" i="1"/>
  <c r="DD18" i="1" s="1"/>
  <c r="AO18" i="1" s="1"/>
  <c r="CQ19" i="1"/>
  <c r="DD19" i="1" s="1"/>
  <c r="AO19" i="1" s="1"/>
  <c r="CQ20" i="1"/>
  <c r="DD20" i="1" s="1"/>
  <c r="AO20" i="1" s="1"/>
  <c r="H7" i="1"/>
  <c r="E1" i="4"/>
  <c r="BB11" i="1" l="1"/>
  <c r="DR11" i="1" s="1"/>
  <c r="BC11" i="1" s="1"/>
  <c r="BB20" i="1"/>
  <c r="DR20" i="1" s="1"/>
  <c r="BB13" i="1"/>
  <c r="DR13" i="1" s="1"/>
  <c r="BB21" i="1"/>
  <c r="DR21" i="1" s="1"/>
  <c r="BC21" i="1" s="1"/>
  <c r="BB16" i="1"/>
  <c r="DR16" i="1" s="1"/>
  <c r="BA16" i="1" s="1"/>
  <c r="DQ16" i="1" s="1"/>
  <c r="BB18" i="1"/>
  <c r="DR18" i="1" s="1"/>
  <c r="BB14" i="1"/>
  <c r="DR14" i="1" s="1"/>
  <c r="BC14" i="1" s="1"/>
  <c r="BB12" i="1"/>
  <c r="DR12" i="1" s="1"/>
  <c r="BC12" i="1" s="1"/>
  <c r="BB19" i="1"/>
  <c r="DR19" i="1" s="1"/>
  <c r="BB17" i="1"/>
  <c r="DR17" i="1" s="1"/>
  <c r="BB15" i="1"/>
  <c r="DR15" i="1" s="1"/>
  <c r="BC15" i="1" s="1"/>
  <c r="C336" i="4"/>
  <c r="C329" i="4"/>
  <c r="C322" i="4"/>
  <c r="C301" i="4"/>
  <c r="C294" i="4"/>
  <c r="C287" i="4"/>
  <c r="C266" i="4"/>
  <c r="C259" i="4"/>
  <c r="C252" i="4"/>
  <c r="C231" i="4"/>
  <c r="C224" i="4"/>
  <c r="C217" i="4"/>
  <c r="C196" i="4"/>
  <c r="C189" i="4"/>
  <c r="C182" i="4"/>
  <c r="C161" i="4"/>
  <c r="C154" i="4"/>
  <c r="C147" i="4"/>
  <c r="C126" i="4"/>
  <c r="C119" i="4"/>
  <c r="C112" i="4"/>
  <c r="C91" i="4"/>
  <c r="C84" i="4"/>
  <c r="C77" i="4"/>
  <c r="C56" i="4"/>
  <c r="C49" i="4"/>
  <c r="C42" i="4"/>
  <c r="C21" i="4"/>
  <c r="C14" i="4"/>
  <c r="C7" i="4"/>
  <c r="B20" i="1"/>
  <c r="B19" i="1"/>
  <c r="B18" i="1"/>
  <c r="B17" i="1"/>
  <c r="B16" i="1"/>
  <c r="B15" i="1"/>
  <c r="B14" i="1"/>
  <c r="B13" i="1"/>
  <c r="B12" i="1"/>
  <c r="B11" i="1"/>
  <c r="BC19" i="1" l="1"/>
  <c r="E305" i="4" s="1"/>
  <c r="K11" i="4" s="1"/>
  <c r="AQ37" i="1" s="1"/>
  <c r="BA37" i="1" s="1"/>
  <c r="BC17" i="1"/>
  <c r="E235" i="4" s="1"/>
  <c r="K9" i="4" s="1"/>
  <c r="AQ35" i="1" s="1"/>
  <c r="BA35" i="1" s="1"/>
  <c r="BC18" i="1"/>
  <c r="E270" i="4" s="1"/>
  <c r="K10" i="4" s="1"/>
  <c r="AQ36" i="1" s="1"/>
  <c r="BA36" i="1" s="1"/>
  <c r="BC16" i="1"/>
  <c r="E200" i="4" s="1"/>
  <c r="K8" i="4" s="1"/>
  <c r="AQ34" i="1" s="1"/>
  <c r="BA34" i="1" s="1"/>
  <c r="BC20" i="1"/>
  <c r="E340" i="4" s="1"/>
  <c r="K12" i="4" s="1"/>
  <c r="AQ38" i="1" s="1"/>
  <c r="BA38" i="1" s="1"/>
  <c r="BC13" i="1"/>
  <c r="BA20" i="1"/>
  <c r="DQ20" i="1" s="1"/>
  <c r="BA19" i="1"/>
  <c r="DQ19" i="1" s="1"/>
  <c r="BA15" i="1"/>
  <c r="DQ15" i="1" s="1"/>
  <c r="BA17" i="1"/>
  <c r="DQ17" i="1" s="1"/>
  <c r="BA18" i="1"/>
  <c r="DQ18" i="1" s="1"/>
  <c r="BA14" i="1"/>
  <c r="DQ14" i="1" s="1"/>
  <c r="BA11" i="1"/>
  <c r="DQ11" i="1" s="1"/>
  <c r="BA13" i="1"/>
  <c r="DQ13" i="1" s="1"/>
  <c r="BA12" i="1"/>
  <c r="DQ12" i="1" s="1"/>
  <c r="BA21" i="1"/>
  <c r="DQ21" i="1" s="1"/>
  <c r="DV17" i="1"/>
  <c r="DV16" i="1"/>
  <c r="DV20" i="1"/>
  <c r="DV18" i="1"/>
  <c r="DV19" i="1"/>
  <c r="A1" i="4"/>
  <c r="A316" i="4"/>
  <c r="A347" i="4" s="1"/>
  <c r="A71" i="4"/>
  <c r="A176" i="4"/>
  <c r="A207" i="4" s="1"/>
  <c r="A211" i="4"/>
  <c r="A106" i="4"/>
  <c r="A137" i="4" s="1"/>
  <c r="A246" i="4"/>
  <c r="A141" i="4"/>
  <c r="A281" i="4"/>
  <c r="A36" i="4"/>
  <c r="A67" i="4" s="1"/>
  <c r="A310" i="4" l="1"/>
  <c r="A312" i="4"/>
  <c r="A275" i="4"/>
  <c r="A277" i="4"/>
  <c r="A240" i="4"/>
  <c r="A242" i="4"/>
  <c r="A170" i="4"/>
  <c r="A172" i="4"/>
  <c r="A100" i="4"/>
  <c r="A102" i="4"/>
  <c r="A32" i="4"/>
  <c r="A30" i="4"/>
  <c r="A331" i="4"/>
  <c r="A345" i="4"/>
  <c r="A184" i="4"/>
  <c r="A205" i="4"/>
  <c r="A65" i="4"/>
  <c r="A135" i="4"/>
  <c r="A79" i="4"/>
  <c r="A9" i="4"/>
  <c r="A283" i="4"/>
  <c r="E283" i="4" s="1"/>
  <c r="A16" i="4"/>
  <c r="A23" i="4"/>
  <c r="A248" i="4"/>
  <c r="E248" i="4" s="1"/>
  <c r="A198" i="4"/>
  <c r="A324" i="4"/>
  <c r="A93" i="4"/>
  <c r="A233" i="4"/>
  <c r="A213" i="4"/>
  <c r="E213" i="4" s="1"/>
  <c r="A238" i="4" s="1"/>
  <c r="E238" i="4" s="1"/>
  <c r="A338" i="4"/>
  <c r="A318" i="4"/>
  <c r="E318" i="4" s="1"/>
  <c r="A219" i="4"/>
  <c r="A226" i="4"/>
  <c r="A86" i="4"/>
  <c r="A191" i="4"/>
  <c r="A178" i="4"/>
  <c r="E178" i="4" s="1"/>
  <c r="A156" i="4"/>
  <c r="A163" i="4"/>
  <c r="A149" i="4"/>
  <c r="A268" i="4"/>
  <c r="A254" i="4"/>
  <c r="A261" i="4"/>
  <c r="A58" i="4"/>
  <c r="A44" i="4"/>
  <c r="A51" i="4"/>
  <c r="A296" i="4"/>
  <c r="A289" i="4"/>
  <c r="A303" i="4"/>
  <c r="A121" i="4"/>
  <c r="A128" i="4"/>
  <c r="A114" i="4"/>
  <c r="A329" i="4" l="1"/>
  <c r="E329" i="4" s="1"/>
  <c r="A343" i="4"/>
  <c r="E343" i="4" s="1"/>
  <c r="A287" i="4"/>
  <c r="E287" i="4" s="1"/>
  <c r="A308" i="4"/>
  <c r="E308" i="4" s="1"/>
  <c r="A252" i="4"/>
  <c r="E252" i="4" s="1"/>
  <c r="A273" i="4"/>
  <c r="E273" i="4" s="1"/>
  <c r="A196" i="4"/>
  <c r="E196" i="4" s="1"/>
  <c r="A203" i="4"/>
  <c r="E203" i="4" s="1"/>
  <c r="A294" i="4"/>
  <c r="E294" i="4" s="1"/>
  <c r="A301" i="4"/>
  <c r="E301" i="4" s="1"/>
  <c r="A266" i="4"/>
  <c r="E266" i="4" s="1"/>
  <c r="A259" i="4"/>
  <c r="E259" i="4" s="1"/>
  <c r="A217" i="4"/>
  <c r="E217" i="4" s="1"/>
  <c r="A231" i="4"/>
  <c r="E231" i="4" s="1"/>
  <c r="A224" i="4"/>
  <c r="E224" i="4" s="1"/>
  <c r="A322" i="4"/>
  <c r="E322" i="4" s="1"/>
  <c r="A336" i="4"/>
  <c r="E336" i="4" s="1"/>
  <c r="A189" i="4"/>
  <c r="E189" i="4" s="1"/>
  <c r="A182" i="4"/>
  <c r="E182" i="4" s="1"/>
  <c r="DV21" i="1" l="1"/>
  <c r="F20" i="1"/>
  <c r="F19" i="1"/>
  <c r="F18" i="1"/>
  <c r="F17" i="1"/>
  <c r="F16" i="1"/>
  <c r="F15" i="1"/>
  <c r="F14" i="1"/>
  <c r="F13" i="1"/>
  <c r="F12" i="1"/>
  <c r="F11" i="1"/>
  <c r="B101" i="2" l="1"/>
  <c r="B90" i="2"/>
  <c r="B79" i="2"/>
  <c r="B68" i="2"/>
  <c r="B57" i="2"/>
  <c r="B46" i="2"/>
  <c r="B35" i="2"/>
  <c r="B24" i="2"/>
  <c r="B13" i="2"/>
  <c r="B2" i="2"/>
  <c r="C105" i="2" l="1"/>
  <c r="C104" i="2"/>
  <c r="C94" i="2"/>
  <c r="C93" i="2"/>
  <c r="C83" i="2"/>
  <c r="C82" i="2"/>
  <c r="C72" i="2"/>
  <c r="C71" i="2"/>
  <c r="C61" i="2"/>
  <c r="C60" i="2"/>
  <c r="C50" i="2"/>
  <c r="C49" i="2"/>
  <c r="C39" i="2"/>
  <c r="C38" i="2"/>
  <c r="C28" i="2"/>
  <c r="C27" i="2"/>
  <c r="C20" i="2"/>
  <c r="C19" i="2"/>
  <c r="C18" i="2"/>
  <c r="C17" i="2"/>
  <c r="C16" i="2"/>
  <c r="C5" i="2"/>
  <c r="B11" i="2"/>
  <c r="C6" i="2" s="1"/>
  <c r="C107" i="2"/>
  <c r="C106" i="2"/>
  <c r="C108" i="2"/>
  <c r="C96" i="2"/>
  <c r="C97" i="2"/>
  <c r="C86" i="2"/>
  <c r="C85" i="2"/>
  <c r="C74" i="2"/>
  <c r="C75" i="2"/>
  <c r="C64" i="2"/>
  <c r="C63" i="2"/>
  <c r="C52" i="2"/>
  <c r="C53" i="2"/>
  <c r="C42" i="2"/>
  <c r="C41" i="2"/>
  <c r="C30" i="2"/>
  <c r="C31" i="2"/>
  <c r="C9" i="2"/>
  <c r="C8" i="2"/>
  <c r="B55" i="2"/>
  <c r="C51" i="2" s="1"/>
  <c r="B44" i="2"/>
  <c r="C40" i="2" s="1"/>
  <c r="B110" i="2"/>
  <c r="B99" i="2"/>
  <c r="C95" i="2" s="1"/>
  <c r="B88" i="2"/>
  <c r="C84" i="2" s="1"/>
  <c r="B77" i="2"/>
  <c r="C73" i="2" s="1"/>
  <c r="B66" i="2"/>
  <c r="C62" i="2" s="1"/>
  <c r="B33" i="2"/>
  <c r="C29" i="2" s="1"/>
  <c r="B22" i="2"/>
  <c r="AE20" i="1"/>
  <c r="AE19" i="1"/>
  <c r="AE18" i="1"/>
  <c r="AE17" i="1"/>
  <c r="AE16" i="1"/>
  <c r="AE15" i="1"/>
  <c r="AE14" i="1"/>
  <c r="AE13" i="1"/>
  <c r="AE12" i="1"/>
  <c r="AE11" i="1"/>
  <c r="AA20" i="1"/>
  <c r="AA19" i="1"/>
  <c r="AA18" i="1"/>
  <c r="AA17" i="1"/>
  <c r="AA16" i="1"/>
  <c r="AA15" i="1"/>
  <c r="AA14" i="1"/>
  <c r="AA13" i="1"/>
  <c r="AA12" i="1"/>
  <c r="AA11" i="1"/>
  <c r="W20" i="1"/>
  <c r="W19" i="1"/>
  <c r="W18" i="1"/>
  <c r="W17" i="1"/>
  <c r="W16" i="1"/>
  <c r="W15" i="1"/>
  <c r="W14" i="1"/>
  <c r="W13" i="1"/>
  <c r="W12" i="1"/>
  <c r="W11" i="1"/>
  <c r="N20" i="1"/>
  <c r="N19" i="1"/>
  <c r="N18" i="1"/>
  <c r="N17" i="1"/>
  <c r="N16" i="1"/>
  <c r="N15" i="1"/>
  <c r="N14" i="1"/>
  <c r="N13" i="1"/>
  <c r="N12" i="1"/>
  <c r="N11" i="1"/>
  <c r="J11" i="1"/>
  <c r="J12" i="1"/>
  <c r="J13" i="1"/>
  <c r="J14" i="1"/>
  <c r="J15" i="1"/>
  <c r="J16" i="1"/>
  <c r="J17" i="1"/>
  <c r="J18" i="1"/>
  <c r="J19" i="1"/>
  <c r="J20" i="1"/>
  <c r="C7" i="2" l="1"/>
  <c r="C22" i="2"/>
  <c r="K12" i="1" s="1"/>
  <c r="C55" i="2"/>
  <c r="K15" i="1" s="1"/>
  <c r="C33" i="2"/>
  <c r="K13" i="1" s="1"/>
  <c r="C110" i="2"/>
  <c r="C99" i="2"/>
  <c r="C88" i="2"/>
  <c r="C77" i="2"/>
  <c r="C66" i="2"/>
  <c r="C44" i="2"/>
  <c r="K14" i="1" s="1"/>
  <c r="D48" i="3" l="1"/>
  <c r="ED14" i="1"/>
  <c r="EC14" i="1"/>
  <c r="D63" i="3"/>
  <c r="EC15" i="1"/>
  <c r="ED15" i="1"/>
  <c r="D33" i="3"/>
  <c r="ED13" i="1"/>
  <c r="EC13" i="1"/>
  <c r="D18" i="3"/>
  <c r="EC12" i="1"/>
  <c r="ED12" i="1"/>
  <c r="C11" i="2"/>
  <c r="K11" i="1" s="1"/>
  <c r="EC11" i="1" s="1"/>
  <c r="G53" i="3" l="1"/>
  <c r="I57" i="3"/>
  <c r="G55" i="3"/>
  <c r="I54" i="3"/>
  <c r="G54" i="3"/>
  <c r="I53" i="3"/>
  <c r="G50" i="3"/>
  <c r="E57" i="3"/>
  <c r="G57" i="3"/>
  <c r="I56" i="3"/>
  <c r="G56" i="3"/>
  <c r="I55" i="3"/>
  <c r="I50" i="3"/>
  <c r="G58" i="3"/>
  <c r="I58" i="3"/>
  <c r="G51" i="3"/>
  <c r="I51" i="3"/>
  <c r="I59" i="3"/>
  <c r="E51" i="3"/>
  <c r="G52" i="3"/>
  <c r="I52" i="3"/>
  <c r="E56" i="3"/>
  <c r="E52" i="3"/>
  <c r="E53" i="3"/>
  <c r="G59" i="3"/>
  <c r="E55" i="3"/>
  <c r="E59" i="3"/>
  <c r="E50" i="3"/>
  <c r="E54" i="3"/>
  <c r="E58" i="3"/>
  <c r="I73" i="3"/>
  <c r="I65" i="3"/>
  <c r="I72" i="3"/>
  <c r="G72" i="3"/>
  <c r="I71" i="3"/>
  <c r="G71" i="3"/>
  <c r="I70" i="3"/>
  <c r="G69" i="3"/>
  <c r="I68" i="3"/>
  <c r="G68" i="3"/>
  <c r="I67" i="3"/>
  <c r="G67" i="3"/>
  <c r="I74" i="3"/>
  <c r="G74" i="3"/>
  <c r="G73" i="3"/>
  <c r="G65" i="3"/>
  <c r="E72" i="3"/>
  <c r="G70" i="3"/>
  <c r="I69" i="3"/>
  <c r="I66" i="3"/>
  <c r="G66" i="3"/>
  <c r="E66" i="3"/>
  <c r="E70" i="3"/>
  <c r="E71" i="3"/>
  <c r="E69" i="3"/>
  <c r="E68" i="3"/>
  <c r="E67" i="3"/>
  <c r="E73" i="3"/>
  <c r="E74" i="3"/>
  <c r="E65" i="3"/>
  <c r="I43" i="3"/>
  <c r="G43" i="3"/>
  <c r="E35" i="3"/>
  <c r="I35" i="3"/>
  <c r="E38" i="3"/>
  <c r="I39" i="3"/>
  <c r="G38" i="3"/>
  <c r="I37" i="3"/>
  <c r="G42" i="3"/>
  <c r="G44" i="3"/>
  <c r="I41" i="3"/>
  <c r="I36" i="3"/>
  <c r="E36" i="3"/>
  <c r="I38" i="3"/>
  <c r="I40" i="3"/>
  <c r="I42" i="3"/>
  <c r="E41" i="3"/>
  <c r="E39" i="3"/>
  <c r="E43" i="3"/>
  <c r="G39" i="3"/>
  <c r="G36" i="3"/>
  <c r="G40" i="3"/>
  <c r="G41" i="3"/>
  <c r="E42" i="3"/>
  <c r="G37" i="3"/>
  <c r="E40" i="3"/>
  <c r="E44" i="3"/>
  <c r="I44" i="3"/>
  <c r="G35" i="3"/>
  <c r="E37" i="3"/>
  <c r="G23" i="3"/>
  <c r="I28" i="3"/>
  <c r="I26" i="3"/>
  <c r="E24" i="3"/>
  <c r="I23" i="3"/>
  <c r="E28" i="3"/>
  <c r="I29" i="3"/>
  <c r="G24" i="3"/>
  <c r="I24" i="3"/>
  <c r="I22" i="3"/>
  <c r="I20" i="3"/>
  <c r="E26" i="3"/>
  <c r="I25" i="3"/>
  <c r="E27" i="3"/>
  <c r="G20" i="3"/>
  <c r="E20" i="3"/>
  <c r="G22" i="3"/>
  <c r="G21" i="3"/>
  <c r="G29" i="3"/>
  <c r="E25" i="3"/>
  <c r="E29" i="3"/>
  <c r="E21" i="3"/>
  <c r="I27" i="3"/>
  <c r="E22" i="3"/>
  <c r="I21" i="3"/>
  <c r="G25" i="3"/>
  <c r="G28" i="3"/>
  <c r="G27" i="3"/>
  <c r="E23" i="3"/>
  <c r="G26" i="3"/>
  <c r="ED11" i="1"/>
  <c r="D3" i="3"/>
  <c r="G61" i="3" l="1"/>
  <c r="T15" i="1" s="1"/>
  <c r="EE15" i="1" s="1"/>
  <c r="AB15" i="1" s="1"/>
  <c r="G46" i="3"/>
  <c r="T14" i="1" s="1"/>
  <c r="DU14" i="1" s="1"/>
  <c r="DU15" i="1"/>
  <c r="G31" i="3"/>
  <c r="T13" i="1" s="1"/>
  <c r="G16" i="3"/>
  <c r="T12" i="1" s="1"/>
  <c r="DU12" i="1" s="1"/>
  <c r="EB21" i="1"/>
  <c r="I14" i="3"/>
  <c r="G12" i="3"/>
  <c r="I9" i="3"/>
  <c r="G7" i="3"/>
  <c r="G14" i="3"/>
  <c r="I7" i="3"/>
  <c r="E11" i="3"/>
  <c r="I12" i="3"/>
  <c r="E7" i="3"/>
  <c r="G5" i="3"/>
  <c r="E6" i="3"/>
  <c r="G9" i="3"/>
  <c r="G11" i="3"/>
  <c r="E8" i="3"/>
  <c r="I10" i="3"/>
  <c r="I11" i="3"/>
  <c r="E9" i="3"/>
  <c r="E10" i="3"/>
  <c r="I6" i="3"/>
  <c r="G8" i="3"/>
  <c r="E13" i="3"/>
  <c r="G10" i="3"/>
  <c r="E5" i="3"/>
  <c r="G13" i="3"/>
  <c r="E14" i="3"/>
  <c r="I13" i="3"/>
  <c r="I8" i="3"/>
  <c r="E12" i="3"/>
  <c r="I5" i="3"/>
  <c r="G6" i="3"/>
  <c r="CB25" i="1" l="1"/>
  <c r="CB26" i="1"/>
  <c r="CB27" i="1"/>
  <c r="EE14" i="1"/>
  <c r="AB14" i="1" s="1"/>
  <c r="DV14" i="1" s="1"/>
  <c r="DV15" i="1"/>
  <c r="A143" i="4"/>
  <c r="E143" i="4" s="1"/>
  <c r="DU13" i="1"/>
  <c r="EE13" i="1"/>
  <c r="AB13" i="1" s="1"/>
  <c r="EE12" i="1"/>
  <c r="AB12" i="1" s="1"/>
  <c r="DV12" i="1" s="1"/>
  <c r="G1" i="3"/>
  <c r="A108" i="4" l="1"/>
  <c r="E108" i="4" s="1"/>
  <c r="A133" i="4" s="1"/>
  <c r="E133" i="4" s="1"/>
  <c r="A161" i="4"/>
  <c r="E161" i="4" s="1"/>
  <c r="A168" i="4"/>
  <c r="E168" i="4" s="1"/>
  <c r="A154" i="4"/>
  <c r="E154" i="4" s="1"/>
  <c r="A147" i="4"/>
  <c r="E147" i="4" s="1"/>
  <c r="DV13" i="1"/>
  <c r="A73" i="4"/>
  <c r="E73" i="4" s="1"/>
  <c r="A38" i="4"/>
  <c r="E38" i="4" s="1"/>
  <c r="T11" i="1"/>
  <c r="EE11" i="1" s="1"/>
  <c r="A126" i="4" l="1"/>
  <c r="E126" i="4" s="1"/>
  <c r="A112" i="4"/>
  <c r="E112" i="4" s="1"/>
  <c r="A119" i="4"/>
  <c r="E119" i="4" s="1"/>
  <c r="A98" i="4"/>
  <c r="E98" i="4" s="1"/>
  <c r="A77" i="4"/>
  <c r="E77" i="4" s="1"/>
  <c r="A84" i="4"/>
  <c r="E84" i="4" s="1"/>
  <c r="A91" i="4"/>
  <c r="E91" i="4" s="1"/>
  <c r="A49" i="4"/>
  <c r="E49" i="4" s="1"/>
  <c r="A63" i="4"/>
  <c r="E63" i="4" s="1"/>
  <c r="A42" i="4"/>
  <c r="E42" i="4" s="1"/>
  <c r="A56" i="4"/>
  <c r="E56" i="4" s="1"/>
  <c r="DU11" i="1"/>
  <c r="AB11" i="1"/>
  <c r="DV11" i="1" l="1"/>
  <c r="BI33" i="1" s="1"/>
  <c r="BN32" i="1" s="1"/>
  <c r="X32" i="1" s="1"/>
  <c r="A3" i="4"/>
  <c r="E3" i="4" s="1"/>
  <c r="C347" i="4" l="1"/>
  <c r="E347" i="4" s="1"/>
  <c r="C312" i="4"/>
  <c r="E312" i="4" s="1"/>
  <c r="C277" i="4"/>
  <c r="E277" i="4" s="1"/>
  <c r="C242" i="4"/>
  <c r="E242" i="4" s="1"/>
  <c r="C207" i="4"/>
  <c r="E207" i="4" s="1"/>
  <c r="C172" i="4"/>
  <c r="E172" i="4" s="1"/>
  <c r="C102" i="4"/>
  <c r="E102" i="4" s="1"/>
  <c r="C67" i="4"/>
  <c r="E67" i="4" s="1"/>
  <c r="C137" i="4"/>
  <c r="E137" i="4" s="1"/>
  <c r="C32" i="4"/>
  <c r="E32" i="4" s="1"/>
  <c r="C30" i="4"/>
  <c r="C310" i="4"/>
  <c r="E310" i="4" s="1"/>
  <c r="C275" i="4"/>
  <c r="E275" i="4" s="1"/>
  <c r="E279" i="4" s="1"/>
  <c r="C240" i="4"/>
  <c r="E240" i="4" s="1"/>
  <c r="E244" i="4" s="1"/>
  <c r="C205" i="4"/>
  <c r="E205" i="4" s="1"/>
  <c r="C170" i="4"/>
  <c r="E170" i="4" s="1"/>
  <c r="C135" i="4"/>
  <c r="E135" i="4" s="1"/>
  <c r="C100" i="4"/>
  <c r="E100" i="4" s="1"/>
  <c r="C345" i="4"/>
  <c r="E345" i="4" s="1"/>
  <c r="C65" i="4"/>
  <c r="E65" i="4" s="1"/>
  <c r="A14" i="4"/>
  <c r="E14" i="4" s="1"/>
  <c r="A28" i="4"/>
  <c r="E28" i="4" s="1"/>
  <c r="A21" i="4"/>
  <c r="E21" i="4" s="1"/>
  <c r="A7" i="4"/>
  <c r="E7" i="4" s="1"/>
  <c r="E174" i="4" l="1"/>
  <c r="E314" i="4"/>
  <c r="E349" i="4"/>
  <c r="L12" i="4" s="1"/>
  <c r="AS38" i="1" s="1"/>
  <c r="BC38" i="1" s="1"/>
  <c r="E104" i="4"/>
  <c r="L5" i="4" s="1"/>
  <c r="AS31" i="1" s="1"/>
  <c r="BC31" i="1" s="1"/>
  <c r="E139" i="4"/>
  <c r="L6" i="4" s="1"/>
  <c r="AS32" i="1" s="1"/>
  <c r="BC32" i="1" s="1"/>
  <c r="E209" i="4"/>
  <c r="L8" i="4" s="1"/>
  <c r="AS34" i="1" s="1"/>
  <c r="BC34" i="1" s="1"/>
  <c r="E69" i="4"/>
  <c r="L4" i="4" s="1"/>
  <c r="AS30" i="1" s="1"/>
  <c r="BC30" i="1" s="1"/>
  <c r="L7" i="4"/>
  <c r="AS33" i="1" s="1"/>
  <c r="BC33" i="1" s="1"/>
  <c r="L9" i="4"/>
  <c r="AS35" i="1" s="1"/>
  <c r="BC35" i="1" s="1"/>
  <c r="L10" i="4"/>
  <c r="AS36" i="1" s="1"/>
  <c r="BC36" i="1" s="1"/>
  <c r="L11" i="4"/>
  <c r="AS37" i="1" s="1"/>
  <c r="BC37" i="1" s="1"/>
  <c r="C191" i="4"/>
  <c r="E191" i="4" s="1"/>
  <c r="E193" i="4" s="1"/>
  <c r="J8" i="4" s="1"/>
  <c r="AO34" i="1" s="1"/>
  <c r="AY34" i="1" s="1"/>
  <c r="E30" i="4"/>
  <c r="E34" i="4" s="1"/>
  <c r="C23" i="4"/>
  <c r="E23" i="4" s="1"/>
  <c r="E25" i="4" s="1"/>
  <c r="C254" i="4"/>
  <c r="E254" i="4" s="1"/>
  <c r="E256" i="4" s="1"/>
  <c r="I10" i="4" s="1"/>
  <c r="AM36" i="1" s="1"/>
  <c r="AW36" i="1" s="1"/>
  <c r="C331" i="4"/>
  <c r="E331" i="4" s="1"/>
  <c r="E333" i="4" s="1"/>
  <c r="J12" i="4" s="1"/>
  <c r="AO38" i="1" s="1"/>
  <c r="AY38" i="1" s="1"/>
  <c r="C226" i="4"/>
  <c r="E226" i="4" s="1"/>
  <c r="E228" i="4" s="1"/>
  <c r="J9" i="4" s="1"/>
  <c r="AO35" i="1" s="1"/>
  <c r="AY35" i="1" s="1"/>
  <c r="C51" i="4"/>
  <c r="E51" i="4" s="1"/>
  <c r="E53" i="4" s="1"/>
  <c r="J4" i="4" s="1"/>
  <c r="AO30" i="1" s="1"/>
  <c r="AY30" i="1" s="1"/>
  <c r="C163" i="4"/>
  <c r="E163" i="4" s="1"/>
  <c r="E165" i="4" s="1"/>
  <c r="K7" i="4" s="1"/>
  <c r="AQ33" i="1" s="1"/>
  <c r="BA33" i="1" s="1"/>
  <c r="C184" i="4"/>
  <c r="E184" i="4" s="1"/>
  <c r="E186" i="4" s="1"/>
  <c r="I8" i="4" s="1"/>
  <c r="AM34" i="1" s="1"/>
  <c r="AW34" i="1" s="1"/>
  <c r="C233" i="4"/>
  <c r="E233" i="4" s="1"/>
  <c r="C149" i="4"/>
  <c r="E149" i="4" s="1"/>
  <c r="E151" i="4" s="1"/>
  <c r="I7" i="4" s="1"/>
  <c r="AM33" i="1" s="1"/>
  <c r="AW33" i="1" s="1"/>
  <c r="C9" i="4"/>
  <c r="I13" i="4" s="1"/>
  <c r="AM39" i="1" s="1"/>
  <c r="AW39" i="1" s="1"/>
  <c r="C268" i="4"/>
  <c r="E268" i="4" s="1"/>
  <c r="C289" i="4"/>
  <c r="E289" i="4" s="1"/>
  <c r="E291" i="4" s="1"/>
  <c r="I11" i="4" s="1"/>
  <c r="AM37" i="1" s="1"/>
  <c r="AW37" i="1" s="1"/>
  <c r="C121" i="4"/>
  <c r="E121" i="4" s="1"/>
  <c r="E123" i="4" s="1"/>
  <c r="J6" i="4" s="1"/>
  <c r="AO32" i="1" s="1"/>
  <c r="AY32" i="1" s="1"/>
  <c r="C324" i="4"/>
  <c r="E324" i="4" s="1"/>
  <c r="E326" i="4" s="1"/>
  <c r="I12" i="4" s="1"/>
  <c r="AM38" i="1" s="1"/>
  <c r="AW38" i="1" s="1"/>
  <c r="C156" i="4"/>
  <c r="E156" i="4" s="1"/>
  <c r="E158" i="4" s="1"/>
  <c r="J7" i="4" s="1"/>
  <c r="AO33" i="1" s="1"/>
  <c r="AY33" i="1" s="1"/>
  <c r="C338" i="4"/>
  <c r="E338" i="4" s="1"/>
  <c r="C44" i="4"/>
  <c r="E44" i="4" s="1"/>
  <c r="E46" i="4" s="1"/>
  <c r="I4" i="4" s="1"/>
  <c r="AM30" i="1" s="1"/>
  <c r="AW30" i="1" s="1"/>
  <c r="C86" i="4"/>
  <c r="E86" i="4" s="1"/>
  <c r="E88" i="4" s="1"/>
  <c r="J5" i="4" s="1"/>
  <c r="AO31" i="1" s="1"/>
  <c r="AY31" i="1" s="1"/>
  <c r="C296" i="4"/>
  <c r="E296" i="4" s="1"/>
  <c r="E298" i="4" s="1"/>
  <c r="J11" i="4" s="1"/>
  <c r="AO37" i="1" s="1"/>
  <c r="AY37" i="1" s="1"/>
  <c r="C58" i="4"/>
  <c r="E58" i="4" s="1"/>
  <c r="E60" i="4" s="1"/>
  <c r="K4" i="4" s="1"/>
  <c r="C79" i="4"/>
  <c r="E79" i="4" s="1"/>
  <c r="E81" i="4" s="1"/>
  <c r="I5" i="4" s="1"/>
  <c r="AM31" i="1" s="1"/>
  <c r="AW31" i="1" s="1"/>
  <c r="C114" i="4"/>
  <c r="E114" i="4" s="1"/>
  <c r="E116" i="4" s="1"/>
  <c r="I6" i="4" s="1"/>
  <c r="AM32" i="1" s="1"/>
  <c r="AW32" i="1" s="1"/>
  <c r="C198" i="4"/>
  <c r="E198" i="4" s="1"/>
  <c r="C261" i="4"/>
  <c r="E261" i="4" s="1"/>
  <c r="E263" i="4" s="1"/>
  <c r="J10" i="4" s="1"/>
  <c r="AO36" i="1" s="1"/>
  <c r="AY36" i="1" s="1"/>
  <c r="C128" i="4"/>
  <c r="E128" i="4" s="1"/>
  <c r="E130" i="4" s="1"/>
  <c r="K6" i="4" s="1"/>
  <c r="AQ32" i="1" s="1"/>
  <c r="BA32" i="1" s="1"/>
  <c r="C93" i="4"/>
  <c r="E93" i="4" s="1"/>
  <c r="E95" i="4" s="1"/>
  <c r="K5" i="4" s="1"/>
  <c r="AQ31" i="1" s="1"/>
  <c r="BA31" i="1" s="1"/>
  <c r="C303" i="4"/>
  <c r="E303" i="4" s="1"/>
  <c r="C219" i="4"/>
  <c r="E219" i="4" s="1"/>
  <c r="E221" i="4" s="1"/>
  <c r="I9" i="4" s="1"/>
  <c r="AM35" i="1" s="1"/>
  <c r="AW35" i="1" s="1"/>
  <c r="C16" i="4"/>
  <c r="E16" i="4" s="1"/>
  <c r="E18" i="4" s="1"/>
  <c r="J3" i="4" s="1"/>
  <c r="L3" i="4" l="1"/>
  <c r="K3" i="4"/>
  <c r="AQ29" i="1" s="1"/>
  <c r="BA29" i="1" s="1"/>
  <c r="AQ30" i="1"/>
  <c r="BA30" i="1" s="1"/>
  <c r="E9" i="4"/>
  <c r="E11" i="4" s="1"/>
  <c r="I3" i="4" s="1"/>
  <c r="AM29" i="1" s="1"/>
  <c r="AW29" i="1" s="1"/>
  <c r="AW40" i="1" s="1"/>
  <c r="AW41" i="1" s="1"/>
  <c r="X36" i="1" s="1"/>
  <c r="J13" i="4"/>
  <c r="AO39" i="1" s="1"/>
  <c r="AY39" i="1" s="1"/>
  <c r="AO29" i="1"/>
  <c r="AY29" i="1" s="1"/>
  <c r="AS29" i="1" l="1"/>
  <c r="BC29" i="1" s="1"/>
  <c r="L13" i="4"/>
  <c r="AS39" i="1" s="1"/>
  <c r="BC39" i="1" s="1"/>
  <c r="BC40" i="1" s="1"/>
  <c r="BC41" i="1" s="1"/>
  <c r="AH36" i="1" s="1"/>
  <c r="K13" i="4"/>
  <c r="AQ39" i="1" s="1"/>
  <c r="BA39" i="1" s="1"/>
  <c r="BA40" i="1" s="1"/>
  <c r="BA41" i="1" s="1"/>
  <c r="AF36" i="1" s="1"/>
  <c r="J14" i="4"/>
  <c r="J15" i="4" s="1"/>
  <c r="AO41" i="1" s="1"/>
  <c r="I14" i="4"/>
  <c r="AM40" i="1" s="1"/>
  <c r="AY40" i="1"/>
  <c r="AY41" i="1" s="1"/>
  <c r="AB36" i="1" s="1"/>
  <c r="L14" i="4" l="1"/>
  <c r="L15" i="4" s="1"/>
  <c r="AS41" i="1" s="1"/>
  <c r="K14" i="4"/>
  <c r="K15" i="4" s="1"/>
  <c r="AQ41" i="1" s="1"/>
  <c r="AB39" i="1"/>
  <c r="I15" i="4"/>
  <c r="AM41" i="1" s="1"/>
  <c r="AO40" i="1"/>
  <c r="AS40" i="1" l="1"/>
  <c r="AQ40" i="1"/>
</calcChain>
</file>

<file path=xl/sharedStrings.xml><?xml version="1.0" encoding="utf-8"?>
<sst xmlns="http://schemas.openxmlformats.org/spreadsheetml/2006/main" count="1274" uniqueCount="225">
  <si>
    <t>【入力欄】</t>
    <rPh sb="1" eb="3">
      <t>ニュウリョク</t>
    </rPh>
    <rPh sb="3" eb="4">
      <t>ラン</t>
    </rPh>
    <phoneticPr fontId="2"/>
  </si>
  <si>
    <t>円</t>
    <rPh sb="0" eb="1">
      <t>エン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</si>
  <si>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</si>
  <si>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</si>
  <si>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</si>
  <si>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</si>
  <si>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【法定軽減に関する注意事項】</t>
    <phoneticPr fontId="2"/>
  </si>
  <si>
    <t>次のような場合は、法定軽減を正しく計算することはできません。</t>
    <rPh sb="0" eb="1">
      <t>ツギ</t>
    </rPh>
    <rPh sb="5" eb="7">
      <t>バアイ</t>
    </rPh>
    <rPh sb="9" eb="11">
      <t>ホウテイ</t>
    </rPh>
    <rPh sb="11" eb="13">
      <t>ケイゲン</t>
    </rPh>
    <rPh sb="14" eb="15">
      <t>タダ</t>
    </rPh>
    <rPh sb="17" eb="19">
      <t>ケイサン</t>
    </rPh>
    <phoneticPr fontId="2"/>
  </si>
  <si>
    <t>①　事業所得等がある方で、専従者給与控除がある場合</t>
    <rPh sb="2" eb="4">
      <t>ジギョウ</t>
    </rPh>
    <rPh sb="4" eb="6">
      <t>ショトク</t>
    </rPh>
    <rPh sb="6" eb="7">
      <t>トウ</t>
    </rPh>
    <rPh sb="10" eb="11">
      <t>カタ</t>
    </rPh>
    <rPh sb="13" eb="16">
      <t>センジュウシャ</t>
    </rPh>
    <rPh sb="16" eb="18">
      <t>キュウヨ</t>
    </rPh>
    <rPh sb="18" eb="20">
      <t>コウジョ</t>
    </rPh>
    <rPh sb="23" eb="25">
      <t>バアイ</t>
    </rPh>
    <phoneticPr fontId="2"/>
  </si>
  <si>
    <t>②　専従者給与の支払を受けている場合</t>
    <rPh sb="2" eb="5">
      <t>センジュウシャ</t>
    </rPh>
    <rPh sb="5" eb="7">
      <t>キュウヨ</t>
    </rPh>
    <rPh sb="8" eb="10">
      <t>シハライ</t>
    </rPh>
    <rPh sb="11" eb="12">
      <t>ウ</t>
    </rPh>
    <rPh sb="16" eb="18">
      <t>バアイ</t>
    </rPh>
    <phoneticPr fontId="2"/>
  </si>
  <si>
    <t>⑤</t>
    <phoneticPr fontId="2"/>
  </si>
  <si>
    <t>⑥</t>
    <phoneticPr fontId="2"/>
  </si>
  <si>
    <t>給与収入</t>
    <rPh sb="0" eb="2">
      <t>キュウヨ</t>
    </rPh>
    <rPh sb="2" eb="4">
      <t>シュウニュウ</t>
    </rPh>
    <phoneticPr fontId="2"/>
  </si>
  <si>
    <t>その他所得</t>
    <rPh sb="2" eb="3">
      <t>タ</t>
    </rPh>
    <rPh sb="3" eb="5">
      <t>ショトク</t>
    </rPh>
    <phoneticPr fontId="2"/>
  </si>
  <si>
    <t>総所得金額等</t>
    <rPh sb="0" eb="3">
      <t>ソウショトク</t>
    </rPh>
    <rPh sb="3" eb="5">
      <t>キンガク</t>
    </rPh>
    <rPh sb="5" eb="6">
      <t>トウ</t>
    </rPh>
    <phoneticPr fontId="2"/>
  </si>
  <si>
    <t>給与収入金額の合計</t>
    <rPh sb="0" eb="2">
      <t>キュウヨ</t>
    </rPh>
    <rPh sb="2" eb="4">
      <t>シュウニュウ</t>
    </rPh>
    <rPh sb="4" eb="6">
      <t>キンガク</t>
    </rPh>
    <rPh sb="7" eb="9">
      <t>ゴウケイ</t>
    </rPh>
    <phoneticPr fontId="2"/>
  </si>
  <si>
    <t>給与所得金額の計算</t>
    <rPh sb="0" eb="2">
      <t>キュウヨ</t>
    </rPh>
    <rPh sb="2" eb="4">
      <t>ショトク</t>
    </rPh>
    <rPh sb="4" eb="6">
      <t>キンガク</t>
    </rPh>
    <rPh sb="7" eb="9">
      <t>ケイサン</t>
    </rPh>
    <phoneticPr fontId="2"/>
  </si>
  <si>
    <t>所得金額</t>
    <rPh sb="0" eb="2">
      <t>ショトク</t>
    </rPh>
    <rPh sb="2" eb="4">
      <t>キンガク</t>
    </rPh>
    <phoneticPr fontId="2"/>
  </si>
  <si>
    <t>　所得金額は右のとおり</t>
    <rPh sb="1" eb="3">
      <t>ショトク</t>
    </rPh>
    <rPh sb="3" eb="5">
      <t>キンガク</t>
    </rPh>
    <rPh sb="6" eb="7">
      <t>ミギ</t>
    </rPh>
    <phoneticPr fontId="2"/>
  </si>
  <si>
    <t>※　3,600,000 円　～　 6,599,999 円　</t>
    <rPh sb="12" eb="13">
      <t>エン</t>
    </rPh>
    <rPh sb="27" eb="28">
      <t>エン</t>
    </rPh>
    <phoneticPr fontId="2"/>
  </si>
  <si>
    <t>A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</si>
  <si>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</si>
  <si>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</si>
  <si>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</si>
  <si>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</si>
  <si>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昨年12月31日時点の年齢</t>
    <rPh sb="0" eb="2">
      <t>サクネン</t>
    </rPh>
    <rPh sb="4" eb="5">
      <t>ガツ</t>
    </rPh>
    <rPh sb="7" eb="8">
      <t>ヒ</t>
    </rPh>
    <rPh sb="8" eb="10">
      <t>ジテン</t>
    </rPh>
    <rPh sb="11" eb="13">
      <t>ネンレイ</t>
    </rPh>
    <phoneticPr fontId="2"/>
  </si>
  <si>
    <t>65歳未満</t>
    <rPh sb="2" eb="3">
      <t>サイ</t>
    </rPh>
    <rPh sb="3" eb="5">
      <t>ミマン</t>
    </rPh>
    <phoneticPr fontId="2"/>
  </si>
  <si>
    <t>　130万円未満</t>
    <rPh sb="4" eb="6">
      <t>マンエン</t>
    </rPh>
    <rPh sb="6" eb="8">
      <t>ミマン</t>
    </rPh>
    <phoneticPr fontId="2"/>
  </si>
  <si>
    <t>　130万円以上410万円未満</t>
    <rPh sb="4" eb="6">
      <t>マンエン</t>
    </rPh>
    <rPh sb="6" eb="8">
      <t>イジョウ</t>
    </rPh>
    <rPh sb="11" eb="13">
      <t>マンエン</t>
    </rPh>
    <rPh sb="13" eb="15">
      <t>ミマン</t>
    </rPh>
    <phoneticPr fontId="2"/>
  </si>
  <si>
    <t>　410万円以上770万円未満</t>
    <rPh sb="4" eb="6">
      <t>マンエン</t>
    </rPh>
    <rPh sb="6" eb="8">
      <t>イジョウ</t>
    </rPh>
    <rPh sb="11" eb="13">
      <t>マンエン</t>
    </rPh>
    <rPh sb="13" eb="15">
      <t>ミマン</t>
    </rPh>
    <phoneticPr fontId="2"/>
  </si>
  <si>
    <t>65歳以上</t>
    <rPh sb="2" eb="3">
      <t>サイ</t>
    </rPh>
    <rPh sb="3" eb="5">
      <t>イジョウ</t>
    </rPh>
    <phoneticPr fontId="2"/>
  </si>
  <si>
    <t>　330万円未満</t>
    <rPh sb="4" eb="6">
      <t>マンエン</t>
    </rPh>
    <rPh sb="6" eb="8">
      <t>ミマン</t>
    </rPh>
    <phoneticPr fontId="2"/>
  </si>
  <si>
    <t>　330万円以上410万円未満</t>
    <rPh sb="4" eb="6">
      <t>マンエン</t>
    </rPh>
    <rPh sb="6" eb="8">
      <t>イジョウ</t>
    </rPh>
    <rPh sb="11" eb="13">
      <t>マンエン</t>
    </rPh>
    <rPh sb="13" eb="15">
      <t>ミマン</t>
    </rPh>
    <phoneticPr fontId="2"/>
  </si>
  <si>
    <t>基準日</t>
    <rPh sb="0" eb="3">
      <t>キジュンビ</t>
    </rPh>
    <phoneticPr fontId="2"/>
  </si>
  <si>
    <t>奥州市　国民健康保険税　簡易計算シート（被保険者試算用）</t>
    <rPh sb="0" eb="3">
      <t>オウシュウシ</t>
    </rPh>
    <rPh sb="4" eb="6">
      <t>コクミン</t>
    </rPh>
    <rPh sb="6" eb="8">
      <t>ケンコウ</t>
    </rPh>
    <rPh sb="8" eb="10">
      <t>ホケン</t>
    </rPh>
    <rPh sb="10" eb="11">
      <t>ゼイ</t>
    </rPh>
    <rPh sb="12" eb="14">
      <t>カンイ</t>
    </rPh>
    <rPh sb="14" eb="16">
      <t>ケイサン</t>
    </rPh>
    <rPh sb="20" eb="24">
      <t>ヒホケンシャ</t>
    </rPh>
    <rPh sb="24" eb="26">
      <t>シサン</t>
    </rPh>
    <rPh sb="26" eb="27">
      <t>ヨウ</t>
    </rPh>
    <phoneticPr fontId="2"/>
  </si>
  <si>
    <t>生年月日</t>
    <rPh sb="0" eb="2">
      <t>セイネン</t>
    </rPh>
    <rPh sb="2" eb="4">
      <t>ガッピ</t>
    </rPh>
    <phoneticPr fontId="2"/>
  </si>
  <si>
    <t>（例）</t>
    <rPh sb="1" eb="2">
      <t>レイ</t>
    </rPh>
    <phoneticPr fontId="2"/>
  </si>
  <si>
    <t>★</t>
    <phoneticPr fontId="2"/>
  </si>
  <si>
    <t>の税率等</t>
    <rPh sb="1" eb="3">
      <t>ゼイリツ</t>
    </rPh>
    <rPh sb="3" eb="4">
      <t>トウ</t>
    </rPh>
    <phoneticPr fontId="2"/>
  </si>
  <si>
    <t>●</t>
    <phoneticPr fontId="2"/>
  </si>
  <si>
    <t>国民健康保険税は、世帯単位で課税されます（納税義務者は世帯主です）。</t>
    <phoneticPr fontId="2"/>
  </si>
  <si>
    <t>世帯主が国民健康保険の被保険者（以下「被保険者」）ではなくとも、世帯内に被保険者がいる場合は、</t>
    <phoneticPr fontId="2"/>
  </si>
  <si>
    <t>世帯主が納税義務者となります。このような世帯主のことを「擬制世帯主」といいます。</t>
    <phoneticPr fontId="2"/>
  </si>
  <si>
    <t>税額は被保険者の総所得の合計額で計算します。（擬制世帯主の所得は、軽減判定にのみ用いられます。）</t>
    <phoneticPr fontId="2"/>
  </si>
  <si>
    <t>医療
給付費分</t>
    <rPh sb="0" eb="2">
      <t>イリョウ</t>
    </rPh>
    <rPh sb="3" eb="5">
      <t>キュウフ</t>
    </rPh>
    <rPh sb="5" eb="6">
      <t>ヒ</t>
    </rPh>
    <rPh sb="6" eb="7">
      <t>ブン</t>
    </rPh>
    <phoneticPr fontId="2"/>
  </si>
  <si>
    <t>後期高齢者
支援金分</t>
    <rPh sb="0" eb="2">
      <t>コウキ</t>
    </rPh>
    <rPh sb="2" eb="5">
      <t>コウレイシャ</t>
    </rPh>
    <rPh sb="6" eb="9">
      <t>シエンキン</t>
    </rPh>
    <rPh sb="9" eb="10">
      <t>ブン</t>
    </rPh>
    <phoneticPr fontId="2"/>
  </si>
  <si>
    <r>
      <t xml:space="preserve">介護
納付金分
</t>
    </r>
    <r>
      <rPr>
        <sz val="8"/>
        <color rgb="FFFF0000"/>
        <rFont val="ＭＳ Ｐゴシック"/>
        <family val="3"/>
        <charset val="128"/>
        <scheme val="minor"/>
      </rPr>
      <t>（介護該当のみ）</t>
    </r>
    <rPh sb="0" eb="2">
      <t>カイゴ</t>
    </rPh>
    <rPh sb="3" eb="6">
      <t>ノウフキン</t>
    </rPh>
    <rPh sb="6" eb="7">
      <t>ブン</t>
    </rPh>
    <rPh sb="9" eb="11">
      <t>カイゴ</t>
    </rPh>
    <rPh sb="11" eb="13">
      <t>ガイトウ</t>
    </rPh>
    <phoneticPr fontId="2"/>
  </si>
  <si>
    <t>備考</t>
    <rPh sb="0" eb="2">
      <t>ビコウ</t>
    </rPh>
    <phoneticPr fontId="2"/>
  </si>
  <si>
    <t>均等割</t>
    <rPh sb="0" eb="3">
      <t>キントウワ</t>
    </rPh>
    <phoneticPr fontId="2"/>
  </si>
  <si>
    <t>一人当たりにかかる税額
（＝加入者数×左記金額）</t>
    <rPh sb="0" eb="2">
      <t>ヒトリ</t>
    </rPh>
    <rPh sb="2" eb="3">
      <t>ア</t>
    </rPh>
    <rPh sb="9" eb="11">
      <t>ゼイガク</t>
    </rPh>
    <rPh sb="14" eb="17">
      <t>カニュウシャ</t>
    </rPh>
    <rPh sb="17" eb="18">
      <t>スウ</t>
    </rPh>
    <rPh sb="19" eb="21">
      <t>サキ</t>
    </rPh>
    <rPh sb="21" eb="23">
      <t>キンガク</t>
    </rPh>
    <phoneticPr fontId="2"/>
  </si>
  <si>
    <t>平等割</t>
    <rPh sb="0" eb="2">
      <t>ビョウドウ</t>
    </rPh>
    <rPh sb="2" eb="3">
      <t>ワリ</t>
    </rPh>
    <phoneticPr fontId="2"/>
  </si>
  <si>
    <t>一世帯当たりにかかる税額
（＝左記金額）</t>
    <rPh sb="0" eb="1">
      <t>イチ</t>
    </rPh>
    <rPh sb="1" eb="3">
      <t>セタイ</t>
    </rPh>
    <rPh sb="3" eb="4">
      <t>ア</t>
    </rPh>
    <rPh sb="10" eb="12">
      <t>ゼイガク</t>
    </rPh>
    <rPh sb="15" eb="17">
      <t>サキ</t>
    </rPh>
    <rPh sb="17" eb="19">
      <t>キンガク</t>
    </rPh>
    <phoneticPr fontId="2"/>
  </si>
  <si>
    <t>課税限度額</t>
    <rPh sb="0" eb="2">
      <t>カゼイ</t>
    </rPh>
    <rPh sb="2" eb="4">
      <t>ゲンド</t>
    </rPh>
    <rPh sb="4" eb="5">
      <t>ガク</t>
    </rPh>
    <phoneticPr fontId="2"/>
  </si>
  <si>
    <t>それぞれの課税にかかる最高限度額</t>
    <rPh sb="5" eb="7">
      <t>カゼイ</t>
    </rPh>
    <rPh sb="11" eb="13">
      <t>サイコウ</t>
    </rPh>
    <rPh sb="13" eb="15">
      <t>ゲンド</t>
    </rPh>
    <rPh sb="15" eb="16">
      <t>ガク</t>
    </rPh>
    <phoneticPr fontId="2"/>
  </si>
  <si>
    <t>法定軽減</t>
    <rPh sb="0" eb="2">
      <t>ホウテイ</t>
    </rPh>
    <rPh sb="2" eb="4">
      <t>ケイゲン</t>
    </rPh>
    <phoneticPr fontId="2"/>
  </si>
  <si>
    <t>世帯主（擬制世帯主（※１）を含む）、被保険者及び特定同一世帯所属者（※２）の前年中の総所得の合算額が下記の</t>
    <phoneticPr fontId="2"/>
  </si>
  <si>
    <t>基準額以下の場合、段階に応じて均等割及び平等割が軽減されます。</t>
    <phoneticPr fontId="2"/>
  </si>
  <si>
    <t>軽減割合</t>
    <rPh sb="0" eb="2">
      <t>ケイゲン</t>
    </rPh>
    <rPh sb="2" eb="4">
      <t>ワリアイ</t>
    </rPh>
    <phoneticPr fontId="2"/>
  </si>
  <si>
    <t>基準額</t>
    <rPh sb="0" eb="2">
      <t>キジュン</t>
    </rPh>
    <rPh sb="2" eb="3">
      <t>ガク</t>
    </rPh>
    <phoneticPr fontId="2"/>
  </si>
  <si>
    <t>※１　擬制世帯主は被保険者数等にカウントされません</t>
    <rPh sb="3" eb="5">
      <t>ギセイ</t>
    </rPh>
    <rPh sb="5" eb="8">
      <t>セタイヌシ</t>
    </rPh>
    <rPh sb="9" eb="13">
      <t>ヒホケンシャ</t>
    </rPh>
    <rPh sb="13" eb="14">
      <t>スウ</t>
    </rPh>
    <rPh sb="14" eb="15">
      <t>トウ</t>
    </rPh>
    <phoneticPr fontId="2"/>
  </si>
  <si>
    <t>７割軽減</t>
    <rPh sb="1" eb="2">
      <t>ワリ</t>
    </rPh>
    <rPh sb="2" eb="4">
      <t>ケイゲン</t>
    </rPh>
    <phoneticPr fontId="2"/>
  </si>
  <si>
    <t>５割軽減</t>
    <rPh sb="1" eb="2">
      <t>ワリ</t>
    </rPh>
    <rPh sb="2" eb="4">
      <t>ケイゲン</t>
    </rPh>
    <phoneticPr fontId="2"/>
  </si>
  <si>
    <t>２割軽減</t>
    <rPh sb="1" eb="2">
      <t>ワリ</t>
    </rPh>
    <rPh sb="2" eb="4">
      <t>ケイゲン</t>
    </rPh>
    <phoneticPr fontId="2"/>
  </si>
  <si>
    <t>貴世帯における基準額（見込）</t>
    <rPh sb="0" eb="1">
      <t>キ</t>
    </rPh>
    <rPh sb="1" eb="3">
      <t>セタイ</t>
    </rPh>
    <rPh sb="7" eb="9">
      <t>キジュン</t>
    </rPh>
    <rPh sb="9" eb="10">
      <t>ガク</t>
    </rPh>
    <rPh sb="11" eb="13">
      <t>ミコミ</t>
    </rPh>
    <phoneticPr fontId="2"/>
  </si>
  <si>
    <t>保険税年額
（見込額）</t>
    <rPh sb="0" eb="2">
      <t>ホケン</t>
    </rPh>
    <rPh sb="2" eb="3">
      <t>ゼイ</t>
    </rPh>
    <rPh sb="3" eb="5">
      <t>ネンガク</t>
    </rPh>
    <rPh sb="7" eb="9">
      <t>ミコミ</t>
    </rPh>
    <rPh sb="9" eb="10">
      <t>ガク</t>
    </rPh>
    <phoneticPr fontId="2"/>
  </si>
  <si>
    <t>【試算結果】</t>
    <rPh sb="1" eb="3">
      <t>シサン</t>
    </rPh>
    <rPh sb="3" eb="5">
      <t>ケッカ</t>
    </rPh>
    <phoneticPr fontId="2"/>
  </si>
  <si>
    <t>法定軽減の適用の有無</t>
    <rPh sb="0" eb="2">
      <t>ホウテイ</t>
    </rPh>
    <rPh sb="2" eb="4">
      <t>ケイゲン</t>
    </rPh>
    <rPh sb="5" eb="7">
      <t>テキヨウ</t>
    </rPh>
    <rPh sb="8" eb="10">
      <t>ウム</t>
    </rPh>
    <phoneticPr fontId="2"/>
  </si>
  <si>
    <t>法定軽減に係る
軽減判定所得</t>
    <rPh sb="0" eb="2">
      <t>ホウテイ</t>
    </rPh>
    <rPh sb="2" eb="4">
      <t>ケイゲン</t>
    </rPh>
    <rPh sb="5" eb="6">
      <t>カカ</t>
    </rPh>
    <rPh sb="8" eb="10">
      <t>ケイゲン</t>
    </rPh>
    <rPh sb="10" eb="12">
      <t>ハンテイ</t>
    </rPh>
    <rPh sb="12" eb="14">
      <t>ショトク</t>
    </rPh>
    <phoneticPr fontId="2"/>
  </si>
  <si>
    <t>－</t>
    <phoneticPr fontId="2"/>
  </si>
  <si>
    <t>基礎控除</t>
    <rPh sb="0" eb="2">
      <t>キソ</t>
    </rPh>
    <rPh sb="2" eb="4">
      <t>コウジョ</t>
    </rPh>
    <phoneticPr fontId="2"/>
  </si>
  <si>
    <t>＝</t>
    <phoneticPr fontId="2"/>
  </si>
  <si>
    <t>基礎控除後所得金額</t>
    <rPh sb="0" eb="2">
      <t>キソ</t>
    </rPh>
    <rPh sb="2" eb="4">
      <t>コウジョ</t>
    </rPh>
    <rPh sb="4" eb="5">
      <t>ゴ</t>
    </rPh>
    <rPh sb="5" eb="7">
      <t>ショトク</t>
    </rPh>
    <rPh sb="7" eb="9">
      <t>キンガク</t>
    </rPh>
    <phoneticPr fontId="2"/>
  </si>
  <si>
    <t>医療分</t>
    <rPh sb="0" eb="2">
      <t>イリョウ</t>
    </rPh>
    <rPh sb="2" eb="3">
      <t>ブン</t>
    </rPh>
    <phoneticPr fontId="2"/>
  </si>
  <si>
    <t>所得割</t>
    <rPh sb="0" eb="2">
      <t>ショトク</t>
    </rPh>
    <rPh sb="2" eb="3">
      <t>ワリ</t>
    </rPh>
    <phoneticPr fontId="2"/>
  </si>
  <si>
    <t>×</t>
    <phoneticPr fontId="2"/>
  </si>
  <si>
    <t>後期分</t>
    <rPh sb="0" eb="2">
      <t>コウキ</t>
    </rPh>
    <rPh sb="2" eb="3">
      <t>ブン</t>
    </rPh>
    <phoneticPr fontId="2"/>
  </si>
  <si>
    <t>介護分</t>
    <rPh sb="0" eb="2">
      <t>カイゴ</t>
    </rPh>
    <rPh sb="2" eb="3">
      <t>ブン</t>
    </rPh>
    <phoneticPr fontId="2"/>
  </si>
  <si>
    <t>⑤</t>
    <phoneticPr fontId="2"/>
  </si>
  <si>
    <t>介護該当のみ</t>
    <rPh sb="0" eb="2">
      <t>カイゴ</t>
    </rPh>
    <rPh sb="2" eb="4">
      <t>ガイトウ</t>
    </rPh>
    <phoneticPr fontId="2"/>
  </si>
  <si>
    <t>計</t>
    <rPh sb="0" eb="1">
      <t>ケイ</t>
    </rPh>
    <phoneticPr fontId="2"/>
  </si>
  <si>
    <t>端数処理後</t>
    <rPh sb="0" eb="2">
      <t>ハスウ</t>
    </rPh>
    <rPh sb="2" eb="4">
      <t>ショリ</t>
    </rPh>
    <rPh sb="4" eb="5">
      <t>ゴ</t>
    </rPh>
    <phoneticPr fontId="2"/>
  </si>
  <si>
    <t>年金所得（※2）</t>
    <rPh sb="0" eb="2">
      <t>ネンキン</t>
    </rPh>
    <rPh sb="2" eb="4">
      <t>ショトク</t>
    </rPh>
    <phoneticPr fontId="2"/>
  </si>
  <si>
    <t>給与所得（※1）</t>
    <rPh sb="0" eb="2">
      <t>キュウヨ</t>
    </rPh>
    <rPh sb="2" eb="4">
      <t>ショトク</t>
    </rPh>
    <phoneticPr fontId="2"/>
  </si>
  <si>
    <t>医療
給付費分</t>
    <rPh sb="0" eb="2">
      <t>イリョウ</t>
    </rPh>
    <phoneticPr fontId="2"/>
  </si>
  <si>
    <t>世帯主の保険状況</t>
    <rPh sb="0" eb="3">
      <t>セタイヌシ</t>
    </rPh>
    <rPh sb="4" eb="6">
      <t>ホケン</t>
    </rPh>
    <rPh sb="6" eb="8">
      <t>ジョウキョウ</t>
    </rPh>
    <phoneticPr fontId="2"/>
  </si>
  <si>
    <t>給与収入（もしくは給与所得）の確認方法</t>
    <rPh sb="0" eb="2">
      <t>キュウヨ</t>
    </rPh>
    <rPh sb="2" eb="4">
      <t>シュウニュウ</t>
    </rPh>
    <rPh sb="9" eb="11">
      <t>キュウヨ</t>
    </rPh>
    <rPh sb="11" eb="13">
      <t>ショトク</t>
    </rPh>
    <rPh sb="15" eb="17">
      <t>カクニン</t>
    </rPh>
    <rPh sb="17" eb="19">
      <t>ホウホウ</t>
    </rPh>
    <phoneticPr fontId="2"/>
  </si>
  <si>
    <t>年金収入の確認方法</t>
    <rPh sb="0" eb="2">
      <t>ネンキン</t>
    </rPh>
    <rPh sb="2" eb="4">
      <t>シュウニュウ</t>
    </rPh>
    <rPh sb="5" eb="7">
      <t>カクニン</t>
    </rPh>
    <rPh sb="7" eb="9">
      <t>ホウホウ</t>
    </rPh>
    <phoneticPr fontId="2"/>
  </si>
  <si>
    <t>事業所得等</t>
    <rPh sb="0" eb="2">
      <t>ジギョウ</t>
    </rPh>
    <rPh sb="2" eb="4">
      <t>ショトク</t>
    </rPh>
    <rPh sb="4" eb="5">
      <t>トウ</t>
    </rPh>
    <phoneticPr fontId="2"/>
  </si>
  <si>
    <t>4月</t>
    <rPh sb="1" eb="2">
      <t>ツキ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</si>
  <si>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</si>
  <si>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</si>
  <si>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</si>
  <si>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</si>
  <si>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</si>
  <si>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</si>
  <si>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</si>
  <si>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</si>
  <si>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</si>
  <si>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</si>
  <si>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</si>
  <si>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月</t>
    <rPh sb="0" eb="1">
      <t>ツキ</t>
    </rPh>
    <phoneticPr fontId="2"/>
  </si>
  <si>
    <t>４月</t>
    <rPh sb="1" eb="2">
      <t>ガツ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</si>
  <si>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</si>
  <si>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</si>
  <si>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</si>
  <si>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</si>
  <si>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</si>
  <si>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</si>
  <si>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</si>
  <si>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</si>
  <si>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</si>
  <si>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</si>
  <si>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</si>
  <si>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入力</t>
    <rPh sb="0" eb="2">
      <t>ニュウリョク</t>
    </rPh>
    <phoneticPr fontId="2"/>
  </si>
  <si>
    <t>介</t>
    <rPh sb="0" eb="1">
      <t>カイ</t>
    </rPh>
    <phoneticPr fontId="2"/>
  </si>
  <si>
    <t>全</t>
    <rPh sb="0" eb="1">
      <t>ゼン</t>
    </rPh>
    <phoneticPr fontId="2"/>
  </si>
  <si>
    <t>国保脱退日の基準日</t>
    <rPh sb="0" eb="2">
      <t>コクホ</t>
    </rPh>
    <rPh sb="2" eb="4">
      <t>ダッタイ</t>
    </rPh>
    <rPh sb="4" eb="5">
      <t>ビ</t>
    </rPh>
    <rPh sb="6" eb="9">
      <t>キジュンビ</t>
    </rPh>
    <phoneticPr fontId="2"/>
  </si>
  <si>
    <t>①　他の市区町村へ転出したとき（転出した日）</t>
    <rPh sb="2" eb="3">
      <t>タ</t>
    </rPh>
    <rPh sb="4" eb="6">
      <t>シク</t>
    </rPh>
    <rPh sb="6" eb="8">
      <t>チョウソン</t>
    </rPh>
    <rPh sb="9" eb="11">
      <t>テンシュツ</t>
    </rPh>
    <rPh sb="16" eb="18">
      <t>テンシュツ</t>
    </rPh>
    <rPh sb="20" eb="21">
      <t>ヒ</t>
    </rPh>
    <phoneticPr fontId="2"/>
  </si>
  <si>
    <t>②　職場の健康保険などへ加入したとき（加入日の翌日）</t>
    <rPh sb="2" eb="4">
      <t>ショクバ</t>
    </rPh>
    <rPh sb="5" eb="7">
      <t>ケンコウ</t>
    </rPh>
    <rPh sb="7" eb="9">
      <t>ホケン</t>
    </rPh>
    <rPh sb="12" eb="14">
      <t>カニュウ</t>
    </rPh>
    <rPh sb="19" eb="21">
      <t>カニュウ</t>
    </rPh>
    <rPh sb="21" eb="22">
      <t>ビ</t>
    </rPh>
    <rPh sb="23" eb="25">
      <t>ヨクジツ</t>
    </rPh>
    <phoneticPr fontId="2"/>
  </si>
  <si>
    <t>③　死亡したとき（死亡した日の翌日）</t>
    <rPh sb="2" eb="4">
      <t>シボウ</t>
    </rPh>
    <rPh sb="9" eb="11">
      <t>シボウ</t>
    </rPh>
    <rPh sb="13" eb="14">
      <t>ヒ</t>
    </rPh>
    <rPh sb="15" eb="17">
      <t>ヨクジツ</t>
    </rPh>
    <phoneticPr fontId="2"/>
  </si>
  <si>
    <t>④　生活保護を受け始めたとき（受け始めた日）</t>
    <rPh sb="2" eb="4">
      <t>セイカツ</t>
    </rPh>
    <rPh sb="4" eb="6">
      <t>ホゴ</t>
    </rPh>
    <rPh sb="7" eb="8">
      <t>ウ</t>
    </rPh>
    <rPh sb="9" eb="10">
      <t>ハジ</t>
    </rPh>
    <rPh sb="15" eb="16">
      <t>ウ</t>
    </rPh>
    <rPh sb="17" eb="18">
      <t>ハジ</t>
    </rPh>
    <rPh sb="20" eb="21">
      <t>ヒ</t>
    </rPh>
    <phoneticPr fontId="2"/>
  </si>
  <si>
    <t>医療分</t>
  </si>
  <si>
    <t>後期分</t>
  </si>
  <si>
    <t>介護分</t>
  </si>
  <si>
    <t>←</t>
    <phoneticPr fontId="2"/>
  </si>
  <si>
    <t>最初に選択してください</t>
    <phoneticPr fontId="2"/>
  </si>
  <si>
    <t>↑</t>
    <phoneticPr fontId="2"/>
  </si>
  <si>
    <r>
      <t xml:space="preserve">介護納付金分
</t>
    </r>
    <r>
      <rPr>
        <b/>
        <sz val="11"/>
        <color rgb="FFFF0000"/>
        <rFont val="ＭＳ Ｐゴシック"/>
        <family val="3"/>
        <charset val="128"/>
        <scheme val="minor"/>
      </rPr>
      <t>（介護該当のみ）</t>
    </r>
    <rPh sb="0" eb="2">
      <t>カイゴ</t>
    </rPh>
    <rPh sb="2" eb="5">
      <t>ノウフキン</t>
    </rPh>
    <rPh sb="5" eb="6">
      <t>ブン</t>
    </rPh>
    <rPh sb="8" eb="10">
      <t>カイゴ</t>
    </rPh>
    <rPh sb="10" eb="12">
      <t>ガイトウ</t>
    </rPh>
    <phoneticPr fontId="2"/>
  </si>
  <si>
    <t>失</t>
    <rPh sb="0" eb="1">
      <t>シツ</t>
    </rPh>
    <phoneticPr fontId="2"/>
  </si>
  <si>
    <t>　</t>
    <phoneticPr fontId="2"/>
  </si>
  <si>
    <t>↑</t>
    <phoneticPr fontId="2"/>
  </si>
  <si>
    <t>年齢</t>
    <rPh sb="0" eb="2">
      <t>ネンレイ</t>
    </rPh>
    <phoneticPr fontId="2"/>
  </si>
  <si>
    <t>軽減年金所得</t>
    <rPh sb="0" eb="2">
      <t>ケイゲン</t>
    </rPh>
    <rPh sb="2" eb="4">
      <t>ネンキン</t>
    </rPh>
    <rPh sb="4" eb="6">
      <t>ショトク</t>
    </rPh>
    <phoneticPr fontId="2"/>
  </si>
  <si>
    <t>軽減判定所得</t>
    <rPh sb="0" eb="2">
      <t>ケイゲン</t>
    </rPh>
    <rPh sb="2" eb="4">
      <t>ハンテイ</t>
    </rPh>
    <rPh sb="4" eb="6">
      <t>ショトク</t>
    </rPh>
    <phoneticPr fontId="2"/>
  </si>
  <si>
    <t>③　土地・建物等の譲渡所得がある方で、特別控除の適用がある場合</t>
    <rPh sb="2" eb="4">
      <t>トチ</t>
    </rPh>
    <rPh sb="5" eb="7">
      <t>タテモノ</t>
    </rPh>
    <rPh sb="7" eb="8">
      <t>トウ</t>
    </rPh>
    <rPh sb="9" eb="11">
      <t>ジョウト</t>
    </rPh>
    <rPh sb="11" eb="13">
      <t>ショトク</t>
    </rPh>
    <rPh sb="16" eb="17">
      <t>カタ</t>
    </rPh>
    <rPh sb="19" eb="21">
      <t>トクベツ</t>
    </rPh>
    <rPh sb="21" eb="23">
      <t>コウジョ</t>
    </rPh>
    <rPh sb="24" eb="26">
      <t>テキヨウ</t>
    </rPh>
    <rPh sb="29" eb="31">
      <t>バアイ</t>
    </rPh>
    <phoneticPr fontId="2"/>
  </si>
  <si>
    <t>④　雑損失の繰越控除の適用がある場合</t>
    <rPh sb="2" eb="3">
      <t>ザツ</t>
    </rPh>
    <rPh sb="3" eb="5">
      <t>ソンシツ</t>
    </rPh>
    <rPh sb="6" eb="8">
      <t>クリコシ</t>
    </rPh>
    <rPh sb="8" eb="10">
      <t>コウジョ</t>
    </rPh>
    <rPh sb="11" eb="13">
      <t>テキヨウ</t>
    </rPh>
    <rPh sb="16" eb="18">
      <t>バアイ</t>
    </rPh>
    <phoneticPr fontId="2"/>
  </si>
  <si>
    <t>※　色が変わった個所を入力してください</t>
    <rPh sb="2" eb="3">
      <t>イロ</t>
    </rPh>
    <rPh sb="4" eb="5">
      <t>カ</t>
    </rPh>
    <rPh sb="8" eb="10">
      <t>カショ</t>
    </rPh>
    <rPh sb="11" eb="13">
      <t>ニュウリョク</t>
    </rPh>
    <phoneticPr fontId="2"/>
  </si>
  <si>
    <r>
      <t>世帯人数</t>
    </r>
    <r>
      <rPr>
        <sz val="12"/>
        <color theme="1"/>
        <rFont val="ＭＳ Ｐゴシック"/>
        <family val="3"/>
        <charset val="128"/>
        <scheme val="minor"/>
      </rPr>
      <t>（加入者数）</t>
    </r>
    <rPh sb="0" eb="2">
      <t>セタイ</t>
    </rPh>
    <rPh sb="2" eb="4">
      <t>ニンズウ</t>
    </rPh>
    <rPh sb="5" eb="8">
      <t>カニュウシャ</t>
    </rPh>
    <rPh sb="8" eb="9">
      <t>スウ</t>
    </rPh>
    <phoneticPr fontId="2"/>
  </si>
  <si>
    <t>※２　国民健康保険から後期高齢者医療制度に移行した方で、継続して同一の世帯に属し、世帯主の変更がない方</t>
    <phoneticPr fontId="2"/>
  </si>
  <si>
    <t>作成日</t>
    <rPh sb="0" eb="3">
      <t>サクセイビ</t>
    </rPh>
    <phoneticPr fontId="2"/>
  </si>
  <si>
    <t>　　　　この試算はあくまで概算です。『目安』となる値を計算したものですので、実際の税額と異なる場合があります。</t>
    <rPh sb="6" eb="8">
      <t>シサン</t>
    </rPh>
    <rPh sb="13" eb="15">
      <t>ガイサン</t>
    </rPh>
    <rPh sb="19" eb="21">
      <t>メヤス</t>
    </rPh>
    <rPh sb="25" eb="26">
      <t>アタイ</t>
    </rPh>
    <rPh sb="27" eb="29">
      <t>ケイサン</t>
    </rPh>
    <rPh sb="38" eb="40">
      <t>ジッサイ</t>
    </rPh>
    <rPh sb="41" eb="43">
      <t>ゼイガク</t>
    </rPh>
    <rPh sb="44" eb="45">
      <t>コト</t>
    </rPh>
    <rPh sb="47" eb="49">
      <t>バアイ</t>
    </rPh>
    <phoneticPr fontId="2"/>
  </si>
  <si>
    <t>←末日を入力</t>
    <phoneticPr fontId="2"/>
  </si>
  <si>
    <t>←年度を入力</t>
    <rPh sb="1" eb="3">
      <t>ネンド</t>
    </rPh>
    <rPh sb="4" eb="6">
      <t>ニュウリョク</t>
    </rPh>
    <phoneticPr fontId="2"/>
  </si>
  <si>
    <t>　Ａ×2.8－8万円</t>
    <rPh sb="8" eb="10">
      <t>マンエン</t>
    </rPh>
    <phoneticPr fontId="2"/>
  </si>
  <si>
    <t>　Ａ×3.2－44万円</t>
    <rPh sb="9" eb="11">
      <t>マンエン</t>
    </rPh>
    <phoneticPr fontId="2"/>
  </si>
  <si>
    <t>　収入金額×0.9－110万円</t>
    <rPh sb="1" eb="3">
      <t>シュウニュウ</t>
    </rPh>
    <rPh sb="3" eb="5">
      <t>キンガク</t>
    </rPh>
    <rPh sb="13" eb="15">
      <t>マンエン</t>
    </rPh>
    <phoneticPr fontId="2"/>
  </si>
  <si>
    <t>　収入金額－195万円</t>
    <rPh sb="1" eb="3">
      <t>シュウニュウ</t>
    </rPh>
    <rPh sb="3" eb="5">
      <t>キンガク</t>
    </rPh>
    <rPh sb="9" eb="11">
      <t>マンエン</t>
    </rPh>
    <phoneticPr fontId="2"/>
  </si>
  <si>
    <t>6,600,000 円　～　 8,499,999 円　</t>
    <rPh sb="10" eb="11">
      <t>エン</t>
    </rPh>
    <rPh sb="25" eb="26">
      <t>エン</t>
    </rPh>
    <phoneticPr fontId="2"/>
  </si>
  <si>
    <t xml:space="preserve"> 　　　 　8,500,000 円  ～</t>
    <rPh sb="16" eb="17">
      <t>エン</t>
    </rPh>
    <phoneticPr fontId="2"/>
  </si>
  <si>
    <t>公的年金等に係る雑所得以外の合計所得</t>
    <rPh sb="0" eb="2">
      <t>コウテキ</t>
    </rPh>
    <rPh sb="2" eb="4">
      <t>ネンキン</t>
    </rPh>
    <rPh sb="4" eb="5">
      <t>トウ</t>
    </rPh>
    <rPh sb="6" eb="7">
      <t>カカ</t>
    </rPh>
    <rPh sb="8" eb="11">
      <t>ザツショトク</t>
    </rPh>
    <rPh sb="11" eb="13">
      <t>イガイ</t>
    </rPh>
    <rPh sb="14" eb="16">
      <t>ゴウケイ</t>
    </rPh>
    <rPh sb="16" eb="18">
      <t>ショトク</t>
    </rPh>
    <phoneticPr fontId="2"/>
  </si>
  <si>
    <t>　770万円以上1,000万円未満</t>
    <rPh sb="4" eb="6">
      <t>マンエン</t>
    </rPh>
    <rPh sb="6" eb="8">
      <t>イジョウ</t>
    </rPh>
    <rPh sb="13" eb="15">
      <t>マンエン</t>
    </rPh>
    <rPh sb="15" eb="17">
      <t>ミマン</t>
    </rPh>
    <phoneticPr fontId="2"/>
  </si>
  <si>
    <t>1,000万円以上</t>
    <rPh sb="5" eb="7">
      <t>マンエン</t>
    </rPh>
    <rPh sb="7" eb="9">
      <t>イジョウ</t>
    </rPh>
    <phoneticPr fontId="2"/>
  </si>
  <si>
    <t>公的年金等収入の合計</t>
    <rPh sb="0" eb="4">
      <t>コウテキネンキン</t>
    </rPh>
    <rPh sb="4" eb="5">
      <t>トウ</t>
    </rPh>
    <rPh sb="5" eb="7">
      <t>シュウニュウ</t>
    </rPh>
    <rPh sb="8" eb="10">
      <t>ゴウケイ</t>
    </rPh>
    <phoneticPr fontId="2"/>
  </si>
  <si>
    <t>年金収入（A）</t>
    <rPh sb="0" eb="2">
      <t>ネンキン</t>
    </rPh>
    <rPh sb="2" eb="4">
      <t>シュウニュウ</t>
    </rPh>
    <phoneticPr fontId="2"/>
  </si>
  <si>
    <t>　（A）－６0万円</t>
    <rPh sb="4" eb="5">
      <t>キンガク</t>
    </rPh>
    <rPh sb="7" eb="9">
      <t>マンエン</t>
    </rPh>
    <phoneticPr fontId="2"/>
  </si>
  <si>
    <t>　（A）×0.75－27.5万円</t>
    <rPh sb="4" eb="5">
      <t>キンガク</t>
    </rPh>
    <rPh sb="14" eb="15">
      <t>マン</t>
    </rPh>
    <rPh sb="15" eb="16">
      <t>エン</t>
    </rPh>
    <phoneticPr fontId="2"/>
  </si>
  <si>
    <t>　（A）×0.85－68.5万円</t>
    <rPh sb="4" eb="5">
      <t>キンガク</t>
    </rPh>
    <rPh sb="14" eb="15">
      <t>マン</t>
    </rPh>
    <rPh sb="15" eb="16">
      <t>エン</t>
    </rPh>
    <phoneticPr fontId="2"/>
  </si>
  <si>
    <t>　（A）×0.95－145.5万円</t>
    <rPh sb="4" eb="5">
      <t>キンガク</t>
    </rPh>
    <rPh sb="15" eb="16">
      <t>マン</t>
    </rPh>
    <rPh sb="16" eb="17">
      <t>エン</t>
    </rPh>
    <phoneticPr fontId="2"/>
  </si>
  <si>
    <t>　（A）－195.5万円</t>
    <rPh sb="10" eb="11">
      <t>マン</t>
    </rPh>
    <rPh sb="11" eb="12">
      <t>エン</t>
    </rPh>
    <phoneticPr fontId="2"/>
  </si>
  <si>
    <t>　（A）－110万円</t>
    <rPh sb="4" eb="5">
      <t>キンガク</t>
    </rPh>
    <rPh sb="8" eb="10">
      <t>マンエン</t>
    </rPh>
    <phoneticPr fontId="2"/>
  </si>
  <si>
    <t>1,000万円以下</t>
    <rPh sb="5" eb="6">
      <t>マン</t>
    </rPh>
    <rPh sb="6" eb="7">
      <t>エン</t>
    </rPh>
    <rPh sb="7" eb="9">
      <t>イカ</t>
    </rPh>
    <phoneticPr fontId="2"/>
  </si>
  <si>
    <t>1,000万円超2,000万円以下</t>
    <rPh sb="5" eb="6">
      <t>マン</t>
    </rPh>
    <rPh sb="6" eb="7">
      <t>エン</t>
    </rPh>
    <rPh sb="7" eb="8">
      <t>チョウ</t>
    </rPh>
    <rPh sb="13" eb="15">
      <t>マンエン</t>
    </rPh>
    <rPh sb="15" eb="17">
      <t>イカ</t>
    </rPh>
    <phoneticPr fontId="2"/>
  </si>
  <si>
    <t>　（A）×0.75－１7.5万円</t>
    <rPh sb="4" eb="5">
      <t>キンガク</t>
    </rPh>
    <rPh sb="14" eb="15">
      <t>マン</t>
    </rPh>
    <rPh sb="15" eb="16">
      <t>エン</t>
    </rPh>
    <phoneticPr fontId="2"/>
  </si>
  <si>
    <t>　（A）×0.85－58.5万円</t>
    <rPh sb="4" eb="5">
      <t>キンガク</t>
    </rPh>
    <rPh sb="14" eb="15">
      <t>マン</t>
    </rPh>
    <rPh sb="15" eb="16">
      <t>エン</t>
    </rPh>
    <phoneticPr fontId="2"/>
  </si>
  <si>
    <t>　（A）×0.95－135.5万円</t>
    <rPh sb="4" eb="5">
      <t>キンガク</t>
    </rPh>
    <rPh sb="15" eb="16">
      <t>マン</t>
    </rPh>
    <rPh sb="16" eb="17">
      <t>エン</t>
    </rPh>
    <phoneticPr fontId="2"/>
  </si>
  <si>
    <t>　（A）－185.5万円</t>
    <rPh sb="10" eb="11">
      <t>マン</t>
    </rPh>
    <rPh sb="11" eb="12">
      <t>エン</t>
    </rPh>
    <phoneticPr fontId="2"/>
  </si>
  <si>
    <t>　（A）－100万円</t>
    <rPh sb="4" eb="5">
      <t>キンガク</t>
    </rPh>
    <rPh sb="8" eb="10">
      <t>マンエン</t>
    </rPh>
    <phoneticPr fontId="2"/>
  </si>
  <si>
    <t>年金所得の計算</t>
    <phoneticPr fontId="2"/>
  </si>
  <si>
    <t>　（A）－40万円</t>
    <rPh sb="4" eb="5">
      <t>キンガク</t>
    </rPh>
    <rPh sb="7" eb="9">
      <t>マンエン</t>
    </rPh>
    <phoneticPr fontId="2"/>
  </si>
  <si>
    <t>　（A）－50万円</t>
    <rPh sb="4" eb="5">
      <t>キンガク</t>
    </rPh>
    <rPh sb="7" eb="9">
      <t>マンエン</t>
    </rPh>
    <phoneticPr fontId="2"/>
  </si>
  <si>
    <t>　（A）×0.75－7.5万円</t>
    <rPh sb="4" eb="5">
      <t>キンガク</t>
    </rPh>
    <rPh sb="13" eb="14">
      <t>マン</t>
    </rPh>
    <rPh sb="14" eb="15">
      <t>エン</t>
    </rPh>
    <phoneticPr fontId="2"/>
  </si>
  <si>
    <t>　（A）×0.85－48.5万円</t>
    <rPh sb="4" eb="5">
      <t>キンガク</t>
    </rPh>
    <rPh sb="14" eb="15">
      <t>マン</t>
    </rPh>
    <rPh sb="15" eb="16">
      <t>エン</t>
    </rPh>
    <phoneticPr fontId="2"/>
  </si>
  <si>
    <t>　（A）×0.95－125.5万円</t>
    <rPh sb="4" eb="5">
      <t>キンガク</t>
    </rPh>
    <rPh sb="15" eb="16">
      <t>マン</t>
    </rPh>
    <rPh sb="16" eb="17">
      <t>エン</t>
    </rPh>
    <phoneticPr fontId="2"/>
  </si>
  <si>
    <t>　（A）－175.5万円</t>
    <rPh sb="10" eb="11">
      <t>マン</t>
    </rPh>
    <rPh sb="11" eb="12">
      <t>エン</t>
    </rPh>
    <phoneticPr fontId="2"/>
  </si>
  <si>
    <t>　（A）－90万円</t>
    <rPh sb="4" eb="5">
      <t>キンガク</t>
    </rPh>
    <rPh sb="7" eb="9">
      <t>マンエン</t>
    </rPh>
    <phoneticPr fontId="2"/>
  </si>
  <si>
    <t>2,000万円超</t>
    <rPh sb="5" eb="6">
      <t>マン</t>
    </rPh>
    <rPh sb="6" eb="7">
      <t>エン</t>
    </rPh>
    <rPh sb="7" eb="8">
      <t>チョウ</t>
    </rPh>
    <phoneticPr fontId="2"/>
  </si>
  <si>
    <t>43万円
　＋１０万円×(給与所得者等の数－１)</t>
    <rPh sb="2" eb="3">
      <t>マン</t>
    </rPh>
    <rPh sb="3" eb="4">
      <t>エン</t>
    </rPh>
    <rPh sb="9" eb="10">
      <t>マン</t>
    </rPh>
    <rPh sb="10" eb="11">
      <t>エン</t>
    </rPh>
    <rPh sb="13" eb="15">
      <t>キュウヨ</t>
    </rPh>
    <rPh sb="15" eb="17">
      <t>ショトク</t>
    </rPh>
    <rPh sb="17" eb="18">
      <t>シャ</t>
    </rPh>
    <rPh sb="18" eb="19">
      <t>トウ</t>
    </rPh>
    <rPh sb="20" eb="21">
      <t>カズ</t>
    </rPh>
    <phoneticPr fontId="2"/>
  </si>
  <si>
    <t>年金収入</t>
    <rPh sb="0" eb="2">
      <t>ネンキン</t>
    </rPh>
    <rPh sb="2" eb="4">
      <t>シュウニュウ</t>
    </rPh>
    <phoneticPr fontId="2"/>
  </si>
  <si>
    <t>失業軽減に該当する場合は、『 ○ 』を選択してください</t>
    <phoneticPr fontId="2"/>
  </si>
  <si>
    <t>国保加入日</t>
    <rPh sb="0" eb="2">
      <t>コクホ</t>
    </rPh>
    <rPh sb="2" eb="4">
      <t>カニュウ</t>
    </rPh>
    <rPh sb="4" eb="5">
      <t>ビ</t>
    </rPh>
    <phoneticPr fontId="2"/>
  </si>
  <si>
    <t>国保脱退日</t>
    <rPh sb="0" eb="2">
      <t>コクホ</t>
    </rPh>
    <rPh sb="2" eb="4">
      <t>ダッタイ</t>
    </rPh>
    <rPh sb="4" eb="5">
      <t>ビ</t>
    </rPh>
    <phoneticPr fontId="2"/>
  </si>
  <si>
    <t>①年金所得＝</t>
    <rPh sb="1" eb="3">
      <t>ネンキン</t>
    </rPh>
    <rPh sb="3" eb="5">
      <t>ショトク</t>
    </rPh>
    <phoneticPr fontId="2"/>
  </si>
  <si>
    <t>②年金所得＝</t>
    <rPh sb="1" eb="3">
      <t>ネンキン</t>
    </rPh>
    <rPh sb="3" eb="5">
      <t>ショトク</t>
    </rPh>
    <phoneticPr fontId="2"/>
  </si>
  <si>
    <t>③年金所得＝</t>
    <rPh sb="1" eb="3">
      <t>ネンキン</t>
    </rPh>
    <rPh sb="3" eb="5">
      <t>ショトク</t>
    </rPh>
    <phoneticPr fontId="2"/>
  </si>
  <si>
    <t>④年金所得＝</t>
    <rPh sb="1" eb="3">
      <t>ネンキン</t>
    </rPh>
    <rPh sb="3" eb="5">
      <t>ショトク</t>
    </rPh>
    <phoneticPr fontId="2"/>
  </si>
  <si>
    <t>⑤年金所得＝</t>
    <rPh sb="1" eb="3">
      <t>ネンキン</t>
    </rPh>
    <rPh sb="3" eb="5">
      <t>ショトク</t>
    </rPh>
    <phoneticPr fontId="2"/>
  </si>
  <si>
    <t>⑥年金所得＝</t>
    <rPh sb="1" eb="3">
      <t>ネンキン</t>
    </rPh>
    <rPh sb="3" eb="5">
      <t>ショトク</t>
    </rPh>
    <phoneticPr fontId="2"/>
  </si>
  <si>
    <t>⑦年金所得＝</t>
    <rPh sb="1" eb="3">
      <t>ネンキン</t>
    </rPh>
    <rPh sb="3" eb="5">
      <t>ショトク</t>
    </rPh>
    <phoneticPr fontId="2"/>
  </si>
  <si>
    <t>⑧年金所得＝</t>
    <rPh sb="1" eb="3">
      <t>ネンキン</t>
    </rPh>
    <rPh sb="3" eb="5">
      <t>ショトク</t>
    </rPh>
    <phoneticPr fontId="2"/>
  </si>
  <si>
    <t>⑨年金所得＝</t>
    <rPh sb="1" eb="3">
      <t>ネンキン</t>
    </rPh>
    <rPh sb="3" eb="5">
      <t>ショトク</t>
    </rPh>
    <phoneticPr fontId="2"/>
  </si>
  <si>
    <t>⑩年金所得＝</t>
    <rPh sb="1" eb="3">
      <t>ネンキン</t>
    </rPh>
    <rPh sb="3" eb="5">
      <t>ショトク</t>
    </rPh>
    <phoneticPr fontId="2"/>
  </si>
  <si>
    <t>※2　年金所得は自動計算ですが、生年月日を入力してください。</t>
    <rPh sb="3" eb="5">
      <t>ネンキン</t>
    </rPh>
    <rPh sb="5" eb="7">
      <t>ショトク</t>
    </rPh>
    <rPh sb="8" eb="10">
      <t>ジドウ</t>
    </rPh>
    <rPh sb="10" eb="12">
      <t>ケイサン</t>
    </rPh>
    <rPh sb="16" eb="20">
      <t>セイネン</t>
    </rPh>
    <rPh sb="21" eb="23">
      <t>ニュウリョク</t>
    </rPh>
    <phoneticPr fontId="2"/>
  </si>
  <si>
    <t>調整控除</t>
    <rPh sb="0" eb="2">
      <t>チョウセイ</t>
    </rPh>
    <rPh sb="2" eb="4">
      <t>コウジョ</t>
    </rPh>
    <phoneticPr fontId="2"/>
  </si>
  <si>
    <t>※1　給与所得は自動計算されます。給与調整控除については計算の関係上、「総所得金額等」から控除します。</t>
    <rPh sb="3" eb="5">
      <t>キュウヨ</t>
    </rPh>
    <rPh sb="5" eb="7">
      <t>ショトク</t>
    </rPh>
    <rPh sb="8" eb="10">
      <t>ジドウ</t>
    </rPh>
    <rPh sb="10" eb="12">
      <t>ケイサン</t>
    </rPh>
    <rPh sb="17" eb="19">
      <t>キュウヨ</t>
    </rPh>
    <rPh sb="19" eb="21">
      <t>チョウセイ</t>
    </rPh>
    <rPh sb="21" eb="23">
      <t>コウジョ</t>
    </rPh>
    <rPh sb="28" eb="30">
      <t>ケイサン</t>
    </rPh>
    <rPh sb="31" eb="33">
      <t>カンケイ</t>
    </rPh>
    <rPh sb="33" eb="34">
      <t>ジョウ</t>
    </rPh>
    <rPh sb="36" eb="39">
      <t>ソウショトク</t>
    </rPh>
    <rPh sb="39" eb="41">
      <t>キンガク</t>
    </rPh>
    <rPh sb="41" eb="42">
      <t>トウ</t>
    </rPh>
    <rPh sb="45" eb="47">
      <t>コウジョ</t>
    </rPh>
    <phoneticPr fontId="2"/>
  </si>
  <si>
    <t>前年中の総所得金額等に対する税額
（＝前年所得－基礎控除43万円×左記料率）</t>
    <rPh sb="0" eb="3">
      <t>ゼンネンチュウ</t>
    </rPh>
    <rPh sb="4" eb="7">
      <t>ソウショトク</t>
    </rPh>
    <rPh sb="7" eb="9">
      <t>キンガク</t>
    </rPh>
    <rPh sb="9" eb="10">
      <t>トウ</t>
    </rPh>
    <rPh sb="11" eb="12">
      <t>タイ</t>
    </rPh>
    <rPh sb="14" eb="15">
      <t>ゼイ</t>
    </rPh>
    <rPh sb="15" eb="16">
      <t>ガク</t>
    </rPh>
    <rPh sb="19" eb="21">
      <t>ゼンネン</t>
    </rPh>
    <rPh sb="21" eb="23">
      <t>ショトク</t>
    </rPh>
    <rPh sb="24" eb="26">
      <t>キソ</t>
    </rPh>
    <rPh sb="26" eb="28">
      <t>コウジョ</t>
    </rPh>
    <rPh sb="30" eb="32">
      <t>マンエン</t>
    </rPh>
    <rPh sb="33" eb="35">
      <t>サキ</t>
    </rPh>
    <rPh sb="35" eb="37">
      <t>リョウリツ</t>
    </rPh>
    <phoneticPr fontId="2"/>
  </si>
  <si>
    <t>未就学児基準日</t>
    <rPh sb="0" eb="3">
      <t>ミシュウガク</t>
    </rPh>
    <rPh sb="3" eb="4">
      <t>ジ</t>
    </rPh>
    <rPh sb="4" eb="6">
      <t>キジュン</t>
    </rPh>
    <rPh sb="6" eb="7">
      <t>ビ</t>
    </rPh>
    <phoneticPr fontId="2"/>
  </si>
  <si>
    <t>確定申告書による所得の確認方法</t>
    <rPh sb="0" eb="2">
      <t>カクテイ</t>
    </rPh>
    <rPh sb="2" eb="4">
      <t>シンコク</t>
    </rPh>
    <rPh sb="4" eb="5">
      <t>ショ</t>
    </rPh>
    <rPh sb="8" eb="10">
      <t>ショトク</t>
    </rPh>
    <rPh sb="11" eb="13">
      <t>カクニン</t>
    </rPh>
    <rPh sb="13" eb="15">
      <t>ホウホウ</t>
    </rPh>
    <phoneticPr fontId="2"/>
  </si>
  <si>
    <t>子ども子育て分</t>
    <rPh sb="0" eb="1">
      <t>コ</t>
    </rPh>
    <rPh sb="3" eb="5">
      <t>コソダ</t>
    </rPh>
    <rPh sb="6" eb="7">
      <t>ブン</t>
    </rPh>
    <phoneticPr fontId="2"/>
  </si>
  <si>
    <t>所得割</t>
    <rPh sb="0" eb="3">
      <t>ショトクワリ</t>
    </rPh>
    <phoneticPr fontId="2"/>
  </si>
  <si>
    <t>均等割</t>
    <rPh sb="0" eb="3">
      <t>キントウワリ</t>
    </rPh>
    <phoneticPr fontId="2"/>
  </si>
  <si>
    <t>年度末まで加入される場合は、『 令和９年４月１日 』と入力してください</t>
    <rPh sb="16" eb="18">
      <t>レイワ</t>
    </rPh>
    <phoneticPr fontId="2"/>
  </si>
  <si>
    <t>1 円　～ 　　650,999 円　</t>
    <rPh sb="2" eb="3">
      <t>エン</t>
    </rPh>
    <rPh sb="16" eb="17">
      <t>エン</t>
    </rPh>
    <phoneticPr fontId="2"/>
  </si>
  <si>
    <t>651,000 円　～　 1,899,999 円　</t>
    <rPh sb="8" eb="9">
      <t>エン</t>
    </rPh>
    <rPh sb="23" eb="24">
      <t>エン</t>
    </rPh>
    <phoneticPr fontId="2"/>
  </si>
  <si>
    <t>　収入金額－65万円</t>
    <rPh sb="1" eb="3">
      <t>シュウニュウ</t>
    </rPh>
    <rPh sb="3" eb="5">
      <t>キンガク</t>
    </rPh>
    <rPh sb="8" eb="10">
      <t>マンエン</t>
    </rPh>
    <phoneticPr fontId="2"/>
  </si>
  <si>
    <t>※　1,900,000 円　～　 3,599,999 円　</t>
    <rPh sb="12" eb="13">
      <t>エン</t>
    </rPh>
    <rPh sb="27" eb="28">
      <t>エン</t>
    </rPh>
    <phoneticPr fontId="2"/>
  </si>
  <si>
    <t>令和８年度</t>
    <rPh sb="0" eb="2">
      <t>レイワ</t>
    </rPh>
    <rPh sb="3" eb="5">
      <t>ネンド</t>
    </rPh>
    <phoneticPr fontId="2"/>
  </si>
  <si>
    <t>R08年分～</t>
    <rPh sb="3" eb="5">
      <t>ネンブン</t>
    </rPh>
    <phoneticPr fontId="2"/>
  </si>
  <si>
    <t>子ども子育て分</t>
    <rPh sb="0" eb="1">
      <t>コ</t>
    </rPh>
    <rPh sb="3" eb="5">
      <t>コソダ</t>
    </rPh>
    <rPh sb="6" eb="7">
      <t>ブン</t>
    </rPh>
    <phoneticPr fontId="2"/>
  </si>
  <si>
    <t>未就学児・未成年判定</t>
    <rPh sb="0" eb="3">
      <t>ミシュウガク</t>
    </rPh>
    <rPh sb="3" eb="4">
      <t>ジ</t>
    </rPh>
    <rPh sb="5" eb="8">
      <t>ミセイネン</t>
    </rPh>
    <rPh sb="8" eb="10">
      <t>ハンテイ</t>
    </rPh>
    <phoneticPr fontId="2"/>
  </si>
  <si>
    <r>
      <t xml:space="preserve">子ども子育て
支援金分
</t>
    </r>
    <r>
      <rPr>
        <sz val="8"/>
        <color rgb="FFFF0000"/>
        <rFont val="ＭＳ Ｐゴシック"/>
        <family val="3"/>
        <charset val="128"/>
        <scheme val="minor"/>
      </rPr>
      <t>（未成年該当を除く）</t>
    </r>
    <rPh sb="0" eb="1">
      <t>コ</t>
    </rPh>
    <rPh sb="3" eb="5">
      <t>コソダ</t>
    </rPh>
    <rPh sb="7" eb="10">
      <t>シエンキン</t>
    </rPh>
    <rPh sb="10" eb="11">
      <t>ブン</t>
    </rPh>
    <rPh sb="13" eb="16">
      <t>ミセイネン</t>
    </rPh>
    <rPh sb="16" eb="18">
      <t>ガイトウ</t>
    </rPh>
    <rPh sb="19" eb="20">
      <t>ノゾ</t>
    </rPh>
    <phoneticPr fontId="2"/>
  </si>
  <si>
    <t>未成年該当を除く</t>
    <rPh sb="0" eb="3">
      <t>ミセイネン</t>
    </rPh>
    <rPh sb="3" eb="5">
      <t>ガイトウ</t>
    </rPh>
    <rPh sb="6" eb="7">
      <t>ノゾ</t>
    </rPh>
    <phoneticPr fontId="2"/>
  </si>
  <si>
    <r>
      <t xml:space="preserve">子ども子育て
支援金分
</t>
    </r>
    <r>
      <rPr>
        <b/>
        <sz val="11"/>
        <color rgb="FFFF0000"/>
        <rFont val="ＭＳ Ｐゴシック"/>
        <family val="3"/>
        <charset val="128"/>
        <scheme val="minor"/>
      </rPr>
      <t>（未成年該当を除く）</t>
    </r>
    <rPh sb="0" eb="1">
      <t>コ</t>
    </rPh>
    <rPh sb="3" eb="5">
      <t>コソダ</t>
    </rPh>
    <rPh sb="7" eb="11">
      <t>シエンキンブン</t>
    </rPh>
    <rPh sb="13" eb="18">
      <t>ミセイネンガイトウ</t>
    </rPh>
    <rPh sb="19" eb="20">
      <t>ノゾ</t>
    </rPh>
    <phoneticPr fontId="2"/>
  </si>
  <si>
    <t>軽減判定基準日</t>
    <rPh sb="0" eb="4">
      <t>ケイゲンハンテイ</t>
    </rPh>
    <rPh sb="4" eb="7">
      <t>キジュンビ</t>
    </rPh>
    <phoneticPr fontId="2"/>
  </si>
  <si>
    <t>当該世帯の軽減判定基準日</t>
    <rPh sb="0" eb="2">
      <t>トウガイ</t>
    </rPh>
    <rPh sb="2" eb="4">
      <t>セタイ</t>
    </rPh>
    <rPh sb="5" eb="9">
      <t>ケイゲンハンテイ</t>
    </rPh>
    <rPh sb="9" eb="12">
      <t>キジュンビ</t>
    </rPh>
    <phoneticPr fontId="2"/>
  </si>
  <si>
    <t>軽減判定日の判定</t>
    <rPh sb="0" eb="5">
      <t>ケイゲンハンテイビ</t>
    </rPh>
    <rPh sb="6" eb="8">
      <t>ハンテイ</t>
    </rPh>
    <phoneticPr fontId="2"/>
  </si>
  <si>
    <t>軽減判定に含まれる方</t>
    <rPh sb="0" eb="4">
      <t>ケイゲンハンテイ</t>
    </rPh>
    <rPh sb="5" eb="6">
      <t>フク</t>
    </rPh>
    <rPh sb="9" eb="10">
      <t>カタ</t>
    </rPh>
    <phoneticPr fontId="2"/>
  </si>
  <si>
    <t>軽減判定人数</t>
    <rPh sb="0" eb="4">
      <t>ケイゲンハンテイ</t>
    </rPh>
    <rPh sb="4" eb="6">
      <t>ニンズウ</t>
    </rPh>
    <phoneticPr fontId="2"/>
  </si>
  <si>
    <t>⑤　世帯内の被保険者で所得不明の方がいる場合</t>
    <phoneticPr fontId="2"/>
  </si>
  <si>
    <t>⑥　世帯内に特定同一世帯所属者がいる場合</t>
    <phoneticPr fontId="2"/>
  </si>
  <si>
    <t>18歳以上均等割</t>
    <rPh sb="2" eb="3">
      <t>サイ</t>
    </rPh>
    <rPh sb="3" eb="5">
      <t>イジョウ</t>
    </rPh>
    <rPh sb="5" eb="8">
      <t>キントウワ</t>
    </rPh>
    <phoneticPr fontId="2"/>
  </si>
  <si>
    <t>18歳以上
均等割</t>
    <rPh sb="2" eb="3">
      <t>サイ</t>
    </rPh>
    <rPh sb="3" eb="5">
      <t>イジョウ</t>
    </rPh>
    <rPh sb="6" eb="9">
      <t>キントウワ</t>
    </rPh>
    <phoneticPr fontId="2"/>
  </si>
  <si>
    <t>18歳以上の一人当たりにかかる税額
（＝加入者数×左記金額）</t>
    <rPh sb="2" eb="5">
      <t>サイイジョウ</t>
    </rPh>
    <rPh sb="6" eb="8">
      <t>ヒトリ</t>
    </rPh>
    <rPh sb="8" eb="9">
      <t>ア</t>
    </rPh>
    <rPh sb="15" eb="17">
      <t>ゼイガク</t>
    </rPh>
    <rPh sb="20" eb="23">
      <t>カニュウシャ</t>
    </rPh>
    <rPh sb="23" eb="24">
      <t>スウ</t>
    </rPh>
    <rPh sb="25" eb="27">
      <t>サキ</t>
    </rPh>
    <rPh sb="27" eb="29">
      <t>キンガク</t>
    </rPh>
    <phoneticPr fontId="2"/>
  </si>
  <si>
    <t>※3　未成年・未就学児の判定に使用される年齢です。</t>
    <rPh sb="3" eb="6">
      <t>ミセイネン</t>
    </rPh>
    <rPh sb="7" eb="11">
      <t>ミシュウガクジ</t>
    </rPh>
    <rPh sb="12" eb="14">
      <t>ハンテイ</t>
    </rPh>
    <rPh sb="15" eb="17">
      <t>シヨウ</t>
    </rPh>
    <rPh sb="20" eb="22">
      <t>ネンレイ</t>
    </rPh>
    <phoneticPr fontId="2"/>
  </si>
  <si>
    <t>43万円＋31万円×(被保険者数等)
　＋10万円×(給与所得者等の数－１)</t>
    <rPh sb="2" eb="3">
      <t>マン</t>
    </rPh>
    <rPh sb="3" eb="4">
      <t>エン</t>
    </rPh>
    <rPh sb="7" eb="8">
      <t>マン</t>
    </rPh>
    <rPh sb="8" eb="9">
      <t>エン</t>
    </rPh>
    <rPh sb="11" eb="15">
      <t>ヒホケンシャ</t>
    </rPh>
    <rPh sb="15" eb="16">
      <t>スウ</t>
    </rPh>
    <rPh sb="16" eb="17">
      <t>トウ</t>
    </rPh>
    <rPh sb="23" eb="24">
      <t>マン</t>
    </rPh>
    <rPh sb="24" eb="25">
      <t>エン</t>
    </rPh>
    <rPh sb="27" eb="29">
      <t>キュウヨ</t>
    </rPh>
    <rPh sb="29" eb="32">
      <t>ショトクシャ</t>
    </rPh>
    <rPh sb="32" eb="33">
      <t>トウ</t>
    </rPh>
    <rPh sb="34" eb="35">
      <t>カズ</t>
    </rPh>
    <phoneticPr fontId="2"/>
  </si>
  <si>
    <t>43万円＋57万円×(被保険者数等)
　＋10万円×(給与所得者等の数－１)</t>
    <rPh sb="2" eb="3">
      <t>マン</t>
    </rPh>
    <rPh sb="3" eb="4">
      <t>エン</t>
    </rPh>
    <rPh sb="7" eb="8">
      <t>マン</t>
    </rPh>
    <rPh sb="8" eb="9">
      <t>エン</t>
    </rPh>
    <rPh sb="11" eb="15">
      <t>ヒホケンシャ</t>
    </rPh>
    <rPh sb="15" eb="16">
      <t>スウ</t>
    </rPh>
    <rPh sb="16" eb="17">
      <t>トウ</t>
    </rPh>
    <rPh sb="23" eb="24">
      <t>マン</t>
    </rPh>
    <rPh sb="24" eb="25">
      <t>エン</t>
    </rPh>
    <rPh sb="27" eb="29">
      <t>キュウヨ</t>
    </rPh>
    <rPh sb="29" eb="32">
      <t>ショトクシャ</t>
    </rPh>
    <rPh sb="32" eb="33">
      <t>トウ</t>
    </rPh>
    <rPh sb="34" eb="35">
      <t>カズ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</si>
</sst>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76" formatCode="&quot;平成&quot;General&quot;年中&quot;"/>
    <numFmt numFmtId="177" formatCode="General&quot;人&quot;"/>
    <numFmt numFmtId="178" formatCode="#,##0&quot;万円&quot;"/>
    <numFmt numFmtId="179" formatCode="&quot;33万円＋&quot;#,##0&quot;万円×（被保険者数＋特定同一世帯所属者）&quot;"/>
    <numFmt numFmtId="180" formatCode="[$-411]ggge&quot;年&quot;m&quot;月&quot;d&quot;日&quot;;@"/>
    <numFmt numFmtId="181" formatCode="#,##0\ &quot;円&quot;"/>
    <numFmt numFmtId="182" formatCode="&quot;330,000 円＋&quot;#,##0&quot; 円×（被保険者数等）&quot;"/>
    <numFmt numFmtId="183" formatCode="General\ &quot;%&quot;"/>
    <numFmt numFmtId="184" formatCode="yyyy&quot;年&quot;m&quot;月&quot;d&quot;日&quot;;@"/>
    <numFmt numFmtId="185" formatCode="&quot;令和&quot;General&quot;年度&quot;"/>
    <numFmt numFmtId="186" formatCode="[$-411]ge\.m\.d;@"/>
    <numFmt numFmtId="187" formatCode="General&quot;歳&quot;"/>
    <numFmt numFmtId="188" formatCode="[$-F800]dddd\,\ mmmm\ dd\,\ yyyy"/>
    <numFmt numFmtId="189" formatCode="0_);[Red]\(0\)"/>
    <numFmt numFmtId="190" formatCode="yyyy&quot;年&quot;m&quot;月&quot;d&quot;日時点年齢（※３）&quot;"/>
  </numFmts>
  <fonts count="4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u/>
      <sz val="11"/>
      <color theme="10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8"/>
      <color theme="1"/>
      <name val="ＭＳ Ｐゴシック"/>
      <family val="2"/>
      <scheme val="minor"/>
    </font>
    <font>
      <sz val="8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b/>
      <u/>
      <sz val="11"/>
      <color theme="1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24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  <font>
      <b/>
      <sz val="22"/>
      <color rgb="FFFF0000"/>
      <name val="ＭＳ Ｐゴシック"/>
      <family val="3"/>
      <charset val="128"/>
      <scheme val="minor"/>
    </font>
    <font>
      <sz val="11"/>
      <color theme="0"/>
      <name val="ＭＳ Ｐゴシック"/>
      <family val="2"/>
      <scheme val="minor"/>
    </font>
    <font>
      <sz val="11"/>
      <color theme="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b/>
      <sz val="14"/>
      <color theme="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CE0C8"/>
        <bgColor indexed="64"/>
      </patternFill>
    </fill>
    <fill>
      <patternFill patternType="solid">
        <fgColor rgb="FFFCE2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ash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ash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/>
  </cellStyleXfs>
  <cellXfs count="406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78" fontId="0" fillId="0" borderId="0" xfId="0" applyNumberFormat="1" applyFont="1" applyBorder="1" applyAlignment="1">
      <alignment vertical="center"/>
    </xf>
    <xf numFmtId="179" fontId="0" fillId="0" borderId="0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4" borderId="2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7" fillId="4" borderId="6" xfId="0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0" fillId="5" borderId="15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10" fillId="0" borderId="0" xfId="0" applyFont="1" applyAlignment="1" applyProtection="1">
      <alignment horizontal="right" vertical="center"/>
    </xf>
    <xf numFmtId="0" fontId="10" fillId="0" borderId="1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right" vertical="center"/>
    </xf>
    <xf numFmtId="0" fontId="10" fillId="0" borderId="1" xfId="0" applyFont="1" applyBorder="1" applyAlignment="1" applyProtection="1">
      <alignment vertical="center"/>
    </xf>
    <xf numFmtId="38" fontId="10" fillId="0" borderId="1" xfId="1" applyFont="1" applyBorder="1" applyAlignment="1" applyProtection="1">
      <alignment horizontal="right" vertical="center"/>
    </xf>
    <xf numFmtId="38" fontId="10" fillId="0" borderId="1" xfId="1" applyFont="1" applyBorder="1" applyAlignment="1" applyProtection="1">
      <alignment horizontal="center" vertical="center"/>
    </xf>
    <xf numFmtId="0" fontId="10" fillId="0" borderId="22" xfId="0" applyFont="1" applyBorder="1" applyAlignment="1" applyProtection="1">
      <alignment horizontal="center" vertical="center"/>
    </xf>
    <xf numFmtId="38" fontId="10" fillId="0" borderId="26" xfId="0" applyNumberFormat="1" applyFont="1" applyBorder="1" applyAlignment="1" applyProtection="1">
      <alignment vertical="center"/>
    </xf>
    <xf numFmtId="38" fontId="10" fillId="0" borderId="23" xfId="1" applyFont="1" applyBorder="1" applyAlignment="1" applyProtection="1">
      <alignment vertical="center"/>
    </xf>
    <xf numFmtId="38" fontId="10" fillId="0" borderId="24" xfId="1" applyFont="1" applyBorder="1" applyAlignment="1" applyProtection="1">
      <alignment horizontal="right" vertical="center"/>
    </xf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vertical="center"/>
    </xf>
    <xf numFmtId="0" fontId="0" fillId="4" borderId="8" xfId="0" applyFill="1" applyBorder="1" applyAlignment="1"/>
    <xf numFmtId="0" fontId="0" fillId="4" borderId="6" xfId="0" applyFill="1" applyBorder="1" applyAlignment="1"/>
    <xf numFmtId="0" fontId="5" fillId="4" borderId="5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82" fontId="14" fillId="0" borderId="0" xfId="0" applyNumberFormat="1" applyFont="1" applyFill="1" applyBorder="1" applyAlignment="1">
      <alignment horizontal="center" vertical="center"/>
    </xf>
    <xf numFmtId="181" fontId="18" fillId="0" borderId="0" xfId="0" applyNumberFormat="1" applyFont="1" applyFill="1" applyBorder="1" applyAlignment="1">
      <alignment horizontal="center" vertical="center"/>
    </xf>
    <xf numFmtId="179" fontId="0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4" borderId="0" xfId="0" applyFill="1" applyBorder="1" applyAlignment="1"/>
    <xf numFmtId="0" fontId="7" fillId="4" borderId="0" xfId="0" applyFont="1" applyFill="1" applyBorder="1" applyAlignment="1">
      <alignment vertical="center"/>
    </xf>
    <xf numFmtId="178" fontId="0" fillId="4" borderId="5" xfId="0" applyNumberFormat="1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horizontal="center" vertical="center"/>
    </xf>
    <xf numFmtId="179" fontId="0" fillId="4" borderId="5" xfId="0" applyNumberFormat="1" applyFont="1" applyFill="1" applyBorder="1" applyAlignment="1">
      <alignment vertical="center"/>
    </xf>
    <xf numFmtId="0" fontId="15" fillId="4" borderId="0" xfId="0" applyFont="1" applyFill="1" applyBorder="1" applyAlignment="1">
      <alignment vertical="center" wrapText="1"/>
    </xf>
    <xf numFmtId="0" fontId="17" fillId="4" borderId="0" xfId="0" applyFont="1" applyFill="1" applyBorder="1" applyAlignment="1">
      <alignment vertical="center" wrapText="1"/>
    </xf>
    <xf numFmtId="181" fontId="5" fillId="4" borderId="0" xfId="1" applyNumberFormat="1" applyFont="1" applyFill="1" applyBorder="1" applyAlignment="1">
      <alignment vertical="center" shrinkToFit="1"/>
    </xf>
    <xf numFmtId="181" fontId="5" fillId="4" borderId="8" xfId="1" applyNumberFormat="1" applyFont="1" applyFill="1" applyBorder="1" applyAlignment="1">
      <alignment vertical="center" shrinkToFit="1"/>
    </xf>
    <xf numFmtId="0" fontId="7" fillId="4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/>
    <xf numFmtId="38" fontId="0" fillId="0" borderId="1" xfId="1" applyFont="1" applyBorder="1" applyAlignment="1"/>
    <xf numFmtId="38" fontId="0" fillId="0" borderId="1" xfId="0" applyNumberFormat="1" applyBorder="1"/>
    <xf numFmtId="0" fontId="0" fillId="0" borderId="0" xfId="0" applyBorder="1" applyAlignment="1">
      <alignment horizontal="center"/>
    </xf>
    <xf numFmtId="0" fontId="0" fillId="0" borderId="0" xfId="0" applyBorder="1"/>
    <xf numFmtId="2" fontId="0" fillId="0" borderId="1" xfId="0" applyNumberFormat="1" applyBorder="1"/>
    <xf numFmtId="38" fontId="0" fillId="0" borderId="26" xfId="0" applyNumberFormat="1" applyBorder="1"/>
    <xf numFmtId="38" fontId="0" fillId="0" borderId="0" xfId="0" applyNumberFormat="1" applyBorder="1"/>
    <xf numFmtId="0" fontId="0" fillId="0" borderId="29" xfId="0" applyBorder="1" applyAlignment="1">
      <alignment horizontal="center"/>
    </xf>
    <xf numFmtId="0" fontId="0" fillId="0" borderId="29" xfId="0" applyBorder="1"/>
    <xf numFmtId="0" fontId="0" fillId="0" borderId="30" xfId="0" applyBorder="1"/>
    <xf numFmtId="0" fontId="0" fillId="0" borderId="25" xfId="0" applyBorder="1" applyAlignment="1">
      <alignment horizontal="center"/>
    </xf>
    <xf numFmtId="0" fontId="0" fillId="0" borderId="34" xfId="0" applyBorder="1"/>
    <xf numFmtId="0" fontId="0" fillId="0" borderId="25" xfId="0" applyBorder="1"/>
    <xf numFmtId="38" fontId="0" fillId="0" borderId="25" xfId="1" applyFont="1" applyBorder="1" applyAlignment="1"/>
    <xf numFmtId="0" fontId="0" fillId="0" borderId="31" xfId="0" applyBorder="1"/>
    <xf numFmtId="0" fontId="0" fillId="0" borderId="32" xfId="0" applyBorder="1" applyAlignment="1">
      <alignment horizontal="center"/>
    </xf>
    <xf numFmtId="0" fontId="0" fillId="0" borderId="32" xfId="0" applyBorder="1"/>
    <xf numFmtId="0" fontId="0" fillId="0" borderId="33" xfId="0" applyBorder="1"/>
    <xf numFmtId="0" fontId="21" fillId="0" borderId="28" xfId="0" applyFont="1" applyBorder="1"/>
    <xf numFmtId="0" fontId="0" fillId="0" borderId="1" xfId="0" applyBorder="1" applyAlignment="1">
      <alignment horizontal="center"/>
    </xf>
    <xf numFmtId="0" fontId="0" fillId="7" borderId="1" xfId="0" applyFill="1" applyBorder="1" applyAlignment="1">
      <alignment horizontal="center"/>
    </xf>
    <xf numFmtId="38" fontId="0" fillId="7" borderId="1" xfId="0" applyNumberFormat="1" applyFill="1" applyBorder="1"/>
    <xf numFmtId="0" fontId="6" fillId="4" borderId="0" xfId="0" applyFont="1" applyFill="1" applyAlignment="1">
      <alignment vertical="center"/>
    </xf>
    <xf numFmtId="0" fontId="9" fillId="4" borderId="3" xfId="0" applyFont="1" applyFill="1" applyBorder="1" applyAlignment="1">
      <alignment vertical="center"/>
    </xf>
    <xf numFmtId="0" fontId="9" fillId="4" borderId="0" xfId="0" applyFont="1" applyFill="1" applyBorder="1" applyAlignment="1">
      <alignment vertical="center"/>
    </xf>
    <xf numFmtId="0" fontId="23" fillId="0" borderId="0" xfId="0" applyFont="1"/>
    <xf numFmtId="0" fontId="19" fillId="4" borderId="6" xfId="0" applyFont="1" applyFill="1" applyBorder="1" applyAlignment="1">
      <alignment vertical="center"/>
    </xf>
    <xf numFmtId="181" fontId="5" fillId="4" borderId="9" xfId="1" applyNumberFormat="1" applyFont="1" applyFill="1" applyBorder="1" applyAlignment="1">
      <alignment vertical="center" shrinkToFit="1"/>
    </xf>
    <xf numFmtId="0" fontId="5" fillId="4" borderId="0" xfId="0" applyFont="1" applyFill="1" applyBorder="1" applyAlignment="1">
      <alignment wrapText="1"/>
    </xf>
    <xf numFmtId="0" fontId="5" fillId="4" borderId="0" xfId="0" applyFont="1" applyFill="1" applyBorder="1" applyAlignment="1">
      <alignment vertical="top" wrapText="1"/>
    </xf>
    <xf numFmtId="0" fontId="0" fillId="8" borderId="2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shrinkToFit="1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3" borderId="59" xfId="0" applyFont="1" applyFill="1" applyBorder="1" applyAlignment="1">
      <alignment horizontal="center" vertical="center" shrinkToFit="1"/>
    </xf>
    <xf numFmtId="0" fontId="4" fillId="3" borderId="60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vertical="center"/>
    </xf>
    <xf numFmtId="0" fontId="5" fillId="0" borderId="26" xfId="0" applyFont="1" applyBorder="1" applyAlignment="1">
      <alignment horizontal="center"/>
    </xf>
    <xf numFmtId="0" fontId="3" fillId="5" borderId="62" xfId="0" applyFont="1" applyFill="1" applyBorder="1" applyAlignment="1">
      <alignment horizontal="center" vertical="center" shrinkToFit="1"/>
    </xf>
    <xf numFmtId="0" fontId="3" fillId="5" borderId="63" xfId="0" applyFont="1" applyFill="1" applyBorder="1" applyAlignment="1">
      <alignment horizontal="center" vertical="center" shrinkToFit="1"/>
    </xf>
    <xf numFmtId="0" fontId="3" fillId="5" borderId="54" xfId="0" applyFont="1" applyFill="1" applyBorder="1" applyAlignment="1">
      <alignment horizontal="center" vertical="center" shrinkToFit="1"/>
    </xf>
    <xf numFmtId="0" fontId="3" fillId="5" borderId="55" xfId="0" applyFont="1" applyFill="1" applyBorder="1" applyAlignment="1">
      <alignment horizontal="center" vertical="center" shrinkToFit="1"/>
    </xf>
    <xf numFmtId="0" fontId="3" fillId="5" borderId="64" xfId="0" applyFont="1" applyFill="1" applyBorder="1" applyAlignment="1">
      <alignment horizontal="center" vertical="center" shrinkToFit="1"/>
    </xf>
    <xf numFmtId="0" fontId="3" fillId="5" borderId="65" xfId="0" applyFont="1" applyFill="1" applyBorder="1" applyAlignment="1">
      <alignment horizontal="center" vertical="center" shrinkToFit="1"/>
    </xf>
    <xf numFmtId="0" fontId="3" fillId="8" borderId="51" xfId="0" applyFont="1" applyFill="1" applyBorder="1" applyAlignment="1">
      <alignment horizontal="center" vertical="center" shrinkToFit="1"/>
    </xf>
    <xf numFmtId="0" fontId="3" fillId="8" borderId="52" xfId="0" applyFont="1" applyFill="1" applyBorder="1" applyAlignment="1">
      <alignment horizontal="center" vertical="center" shrinkToFit="1"/>
    </xf>
    <xf numFmtId="0" fontId="0" fillId="4" borderId="0" xfId="0" applyFill="1" applyBorder="1" applyAlignment="1">
      <alignment vertical="center" shrinkToFit="1"/>
    </xf>
    <xf numFmtId="0" fontId="0" fillId="4" borderId="6" xfId="0" applyFill="1" applyBorder="1" applyAlignment="1">
      <alignment vertical="center" shrinkToFit="1"/>
    </xf>
    <xf numFmtId="0" fontId="0" fillId="0" borderId="1" xfId="0" applyBorder="1" applyAlignment="1" applyProtection="1">
      <alignment horizontal="center"/>
    </xf>
    <xf numFmtId="0" fontId="0" fillId="0" borderId="23" xfId="0" applyBorder="1" applyAlignment="1" applyProtection="1">
      <alignment horizontal="center"/>
    </xf>
    <xf numFmtId="0" fontId="0" fillId="3" borderId="47" xfId="0" applyFill="1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180" fontId="0" fillId="0" borderId="0" xfId="0" applyNumberFormat="1" applyBorder="1" applyProtection="1"/>
    <xf numFmtId="0" fontId="24" fillId="4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vertical="center"/>
    </xf>
    <xf numFmtId="0" fontId="27" fillId="4" borderId="0" xfId="0" applyFont="1" applyFill="1" applyBorder="1" applyAlignment="1">
      <alignment vertical="center"/>
    </xf>
    <xf numFmtId="0" fontId="29" fillId="4" borderId="0" xfId="0" applyFont="1" applyFill="1" applyAlignment="1">
      <alignment vertical="center"/>
    </xf>
    <xf numFmtId="0" fontId="29" fillId="4" borderId="0" xfId="0" applyFont="1" applyFill="1" applyBorder="1" applyAlignment="1">
      <alignment horizontal="center" vertical="center"/>
    </xf>
    <xf numFmtId="0" fontId="22" fillId="4" borderId="0" xfId="2" applyFont="1" applyFill="1" applyBorder="1" applyAlignment="1" applyProtection="1">
      <alignment horizontal="left" vertical="center"/>
    </xf>
    <xf numFmtId="0" fontId="7" fillId="4" borderId="0" xfId="0" applyFont="1" applyFill="1" applyBorder="1" applyAlignment="1" applyProtection="1">
      <alignment vertical="center"/>
    </xf>
    <xf numFmtId="0" fontId="7" fillId="4" borderId="6" xfId="0" applyFont="1" applyFill="1" applyBorder="1" applyAlignment="1" applyProtection="1">
      <alignment vertical="center"/>
    </xf>
    <xf numFmtId="0" fontId="29" fillId="4" borderId="0" xfId="0" applyFont="1" applyFill="1" applyBorder="1" applyAlignment="1">
      <alignment vertical="center"/>
    </xf>
    <xf numFmtId="0" fontId="29" fillId="4" borderId="0" xfId="0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 shrinkToFit="1"/>
    </xf>
    <xf numFmtId="38" fontId="0" fillId="0" borderId="1" xfId="1" applyFont="1" applyBorder="1" applyAlignment="1">
      <alignment vertical="center"/>
    </xf>
    <xf numFmtId="180" fontId="0" fillId="0" borderId="0" xfId="0" applyNumberFormat="1" applyBorder="1" applyAlignment="1">
      <alignment vertical="center" shrinkToFit="1"/>
    </xf>
    <xf numFmtId="0" fontId="0" fillId="5" borderId="14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176" fontId="28" fillId="3" borderId="66" xfId="0" applyNumberFormat="1" applyFont="1" applyFill="1" applyBorder="1" applyAlignment="1">
      <alignment horizontal="center" vertical="center" shrinkToFit="1"/>
    </xf>
    <xf numFmtId="0" fontId="0" fillId="5" borderId="67" xfId="0" applyFill="1" applyBorder="1" applyAlignment="1" applyProtection="1">
      <alignment horizontal="center" vertical="center"/>
      <protection locked="0"/>
    </xf>
    <xf numFmtId="0" fontId="0" fillId="5" borderId="68" xfId="0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0" fontId="10" fillId="0" borderId="1" xfId="0" applyFont="1" applyBorder="1" applyAlignment="1" applyProtection="1">
      <alignment horizontal="left" vertical="center"/>
    </xf>
    <xf numFmtId="0" fontId="36" fillId="0" borderId="0" xfId="0" applyFont="1" applyFill="1" applyBorder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0" fillId="0" borderId="0" xfId="0" applyNumberFormat="1" applyBorder="1" applyProtection="1"/>
    <xf numFmtId="184" fontId="0" fillId="0" borderId="48" xfId="0" applyNumberFormat="1" applyFill="1" applyBorder="1" applyAlignment="1" applyProtection="1">
      <alignment horizontal="center"/>
    </xf>
    <xf numFmtId="184" fontId="0" fillId="2" borderId="48" xfId="0" applyNumberFormat="1" applyFill="1" applyBorder="1" applyAlignment="1" applyProtection="1">
      <alignment horizontal="center"/>
    </xf>
    <xf numFmtId="184" fontId="0" fillId="0" borderId="49" xfId="0" applyNumberFormat="1" applyFill="1" applyBorder="1" applyAlignment="1" applyProtection="1">
      <alignment horizontal="center"/>
    </xf>
    <xf numFmtId="184" fontId="0" fillId="0" borderId="23" xfId="0" applyNumberFormat="1" applyBorder="1" applyAlignment="1" applyProtection="1">
      <alignment horizontal="center"/>
    </xf>
    <xf numFmtId="38" fontId="10" fillId="0" borderId="1" xfId="1" applyFont="1" applyBorder="1" applyAlignment="1" applyProtection="1">
      <alignment vertical="center" shrinkToFit="1"/>
    </xf>
    <xf numFmtId="0" fontId="10" fillId="0" borderId="71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vertical="center"/>
    </xf>
    <xf numFmtId="0" fontId="0" fillId="0" borderId="0" xfId="0" applyProtection="1">
      <protection locked="0"/>
    </xf>
    <xf numFmtId="0" fontId="10" fillId="0" borderId="0" xfId="0" applyFont="1" applyAlignment="1" applyProtection="1">
      <alignment vertical="center"/>
      <protection locked="0"/>
    </xf>
    <xf numFmtId="0" fontId="38" fillId="0" borderId="0" xfId="0" applyFont="1" applyProtection="1"/>
    <xf numFmtId="0" fontId="0" fillId="0" borderId="0" xfId="0" applyProtection="1"/>
    <xf numFmtId="0" fontId="0" fillId="0" borderId="70" xfId="0" applyBorder="1" applyAlignment="1" applyProtection="1">
      <alignment horizontal="center"/>
    </xf>
    <xf numFmtId="0" fontId="6" fillId="0" borderId="0" xfId="0" applyFont="1" applyProtection="1"/>
    <xf numFmtId="0" fontId="0" fillId="0" borderId="72" xfId="0" applyBorder="1" applyAlignment="1" applyProtection="1">
      <alignment shrinkToFit="1"/>
    </xf>
    <xf numFmtId="0" fontId="29" fillId="4" borderId="0" xfId="0" applyFont="1" applyFill="1" applyBorder="1" applyAlignment="1">
      <alignment horizontal="left" vertical="center"/>
    </xf>
    <xf numFmtId="0" fontId="0" fillId="5" borderId="75" xfId="0" applyFill="1" applyBorder="1" applyAlignment="1">
      <alignment horizontal="center" vertical="center"/>
    </xf>
    <xf numFmtId="0" fontId="0" fillId="5" borderId="77" xfId="0" applyFill="1" applyBorder="1" applyAlignment="1">
      <alignment horizontal="center" vertical="center"/>
    </xf>
    <xf numFmtId="0" fontId="0" fillId="5" borderId="78" xfId="0" applyFill="1" applyBorder="1" applyAlignment="1">
      <alignment horizontal="center" vertical="center"/>
    </xf>
    <xf numFmtId="0" fontId="0" fillId="5" borderId="79" xfId="0" applyFill="1" applyBorder="1" applyAlignment="1">
      <alignment horizontal="center" vertical="center"/>
    </xf>
    <xf numFmtId="0" fontId="0" fillId="5" borderId="15" xfId="0" applyFill="1" applyBorder="1" applyAlignment="1" applyProtection="1">
      <alignment horizontal="center" vertical="center"/>
    </xf>
    <xf numFmtId="0" fontId="0" fillId="5" borderId="18" xfId="0" applyFill="1" applyBorder="1" applyAlignment="1" applyProtection="1">
      <alignment horizontal="center" vertical="center"/>
    </xf>
    <xf numFmtId="0" fontId="0" fillId="8" borderId="80" xfId="0" applyFont="1" applyFill="1" applyBorder="1" applyAlignment="1" applyProtection="1">
      <alignment horizontal="center" vertical="center"/>
    </xf>
    <xf numFmtId="0" fontId="0" fillId="8" borderId="20" xfId="0" applyFont="1" applyFill="1" applyBorder="1" applyAlignment="1" applyProtection="1">
      <alignment horizontal="center" vertical="center"/>
    </xf>
    <xf numFmtId="0" fontId="0" fillId="8" borderId="69" xfId="0" applyFont="1" applyFill="1" applyBorder="1" applyAlignment="1" applyProtection="1">
      <alignment horizontal="center" vertical="center"/>
    </xf>
    <xf numFmtId="0" fontId="0" fillId="8" borderId="21" xfId="0" applyFont="1" applyFill="1" applyBorder="1" applyAlignment="1" applyProtection="1">
      <alignment horizontal="center" vertical="center"/>
    </xf>
    <xf numFmtId="38" fontId="0" fillId="0" borderId="12" xfId="1" applyFont="1" applyFill="1" applyBorder="1" applyAlignment="1" applyProtection="1">
      <alignment horizontal="right" indent="1"/>
      <protection locked="0"/>
    </xf>
    <xf numFmtId="180" fontId="10" fillId="0" borderId="12" xfId="0" applyNumberFormat="1" applyFont="1" applyFill="1" applyBorder="1" applyAlignment="1" applyProtection="1">
      <alignment horizontal="center" vertical="center"/>
      <protection locked="0"/>
    </xf>
    <xf numFmtId="38" fontId="0" fillId="0" borderId="4" xfId="1" applyFont="1" applyFill="1" applyBorder="1" applyAlignment="1" applyProtection="1">
      <alignment horizontal="right" vertical="center" indent="1"/>
      <protection locked="0"/>
    </xf>
    <xf numFmtId="38" fontId="6" fillId="0" borderId="47" xfId="1" applyFont="1" applyFill="1" applyBorder="1" applyAlignment="1" applyProtection="1"/>
    <xf numFmtId="0" fontId="6" fillId="0" borderId="6" xfId="0" applyFont="1" applyFill="1" applyBorder="1" applyAlignment="1" applyProtection="1">
      <alignment horizontal="right" vertical="center"/>
    </xf>
    <xf numFmtId="0" fontId="6" fillId="0" borderId="5" xfId="0" applyFont="1" applyFill="1" applyBorder="1" applyProtection="1"/>
    <xf numFmtId="186" fontId="10" fillId="8" borderId="1" xfId="0" applyNumberFormat="1" applyFont="1" applyFill="1" applyBorder="1" applyAlignment="1" applyProtection="1">
      <alignment horizontal="center" vertical="center"/>
    </xf>
    <xf numFmtId="38" fontId="0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184" fontId="0" fillId="0" borderId="0" xfId="0" applyNumberForma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187" fontId="0" fillId="8" borderId="8" xfId="0" applyNumberFormat="1" applyFont="1" applyFill="1" applyBorder="1" applyAlignment="1">
      <alignment horizontal="center" vertical="center" shrinkToFit="1"/>
    </xf>
    <xf numFmtId="187" fontId="0" fillId="5" borderId="89" xfId="0" applyNumberFormat="1" applyFont="1" applyFill="1" applyBorder="1" applyAlignment="1" applyProtection="1">
      <alignment horizontal="center" vertical="center" shrinkToFit="1"/>
    </xf>
    <xf numFmtId="0" fontId="0" fillId="0" borderId="1" xfId="0" applyFill="1" applyBorder="1" applyAlignment="1">
      <alignment horizontal="center"/>
    </xf>
    <xf numFmtId="38" fontId="39" fillId="7" borderId="1" xfId="0" applyNumberFormat="1" applyFont="1" applyFill="1" applyBorder="1"/>
    <xf numFmtId="188" fontId="0" fillId="0" borderId="0" xfId="0" applyNumberFormat="1"/>
    <xf numFmtId="180" fontId="0" fillId="0" borderId="0" xfId="0" applyNumberForma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38" fontId="0" fillId="0" borderId="0" xfId="1" applyFont="1" applyBorder="1" applyAlignment="1">
      <alignment vertical="center"/>
    </xf>
    <xf numFmtId="188" fontId="0" fillId="0" borderId="0" xfId="0" applyNumberFormat="1" applyBorder="1" applyAlignment="1">
      <alignment horizontal="center" vertical="center" shrinkToFit="1"/>
    </xf>
    <xf numFmtId="188" fontId="0" fillId="0" borderId="1" xfId="0" applyNumberFormat="1" applyBorder="1" applyAlignment="1">
      <alignment horizontal="center" vertical="center" shrinkToFit="1"/>
    </xf>
    <xf numFmtId="188" fontId="0" fillId="0" borderId="1" xfId="1" applyNumberFormat="1" applyFont="1" applyBorder="1" applyAlignment="1">
      <alignment vertical="center"/>
    </xf>
    <xf numFmtId="188" fontId="0" fillId="0" borderId="0" xfId="1" applyNumberFormat="1" applyFont="1" applyBorder="1" applyAlignment="1">
      <alignment horizontal="center" vertical="center"/>
    </xf>
    <xf numFmtId="189" fontId="0" fillId="0" borderId="1" xfId="0" applyNumberFormat="1" applyBorder="1" applyAlignment="1">
      <alignment vertical="center"/>
    </xf>
    <xf numFmtId="189" fontId="0" fillId="0" borderId="1" xfId="1" applyNumberFormat="1" applyFont="1" applyBorder="1" applyAlignment="1">
      <alignment horizontal="center" vertical="center"/>
    </xf>
    <xf numFmtId="190" fontId="26" fillId="3" borderId="26" xfId="0" applyNumberFormat="1" applyFont="1" applyFill="1" applyBorder="1" applyAlignment="1">
      <alignment horizontal="center" vertical="center" shrinkToFit="1"/>
    </xf>
    <xf numFmtId="0" fontId="0" fillId="0" borderId="1" xfId="0" applyNumberFormat="1" applyBorder="1" applyAlignment="1">
      <alignment horizontal="center" vertical="center" shrinkToFit="1"/>
    </xf>
    <xf numFmtId="0" fontId="39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19" fillId="3" borderId="1" xfId="0" applyFont="1" applyFill="1" applyBorder="1" applyAlignment="1">
      <alignment horizontal="center" vertical="center" shrinkToFit="1"/>
    </xf>
    <xf numFmtId="181" fontId="32" fillId="5" borderId="1" xfId="1" applyNumberFormat="1" applyFont="1" applyFill="1" applyBorder="1" applyAlignment="1" applyProtection="1">
      <alignment horizontal="center" vertical="center" shrinkToFit="1"/>
      <protection locked="0"/>
    </xf>
    <xf numFmtId="0" fontId="6" fillId="3" borderId="1" xfId="0" applyFont="1" applyFill="1" applyBorder="1" applyAlignment="1">
      <alignment horizontal="center" vertical="center" wrapText="1"/>
    </xf>
    <xf numFmtId="181" fontId="25" fillId="5" borderId="1" xfId="1" applyNumberFormat="1" applyFont="1" applyFill="1" applyBorder="1" applyAlignment="1">
      <alignment horizontal="center" vertical="center" shrinkToFit="1"/>
    </xf>
    <xf numFmtId="181" fontId="30" fillId="5" borderId="1" xfId="1" applyNumberFormat="1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 shrinkToFit="1"/>
    </xf>
    <xf numFmtId="0" fontId="32" fillId="0" borderId="3" xfId="0" applyFont="1" applyBorder="1" applyAlignment="1">
      <alignment horizontal="center" vertical="center" shrinkToFit="1"/>
    </xf>
    <xf numFmtId="0" fontId="32" fillId="0" borderId="4" xfId="0" applyFont="1" applyBorder="1" applyAlignment="1">
      <alignment horizontal="center" vertical="center" shrinkToFit="1"/>
    </xf>
    <xf numFmtId="0" fontId="32" fillId="0" borderId="7" xfId="0" applyFont="1" applyBorder="1" applyAlignment="1">
      <alignment horizontal="center" vertical="center" shrinkToFit="1"/>
    </xf>
    <xf numFmtId="0" fontId="32" fillId="0" borderId="8" xfId="0" applyFont="1" applyBorder="1" applyAlignment="1">
      <alignment horizontal="center" vertical="center" shrinkToFit="1"/>
    </xf>
    <xf numFmtId="0" fontId="32" fillId="0" borderId="9" xfId="0" applyFont="1" applyBorder="1" applyAlignment="1">
      <alignment horizontal="center" vertical="center" shrinkToFit="1"/>
    </xf>
    <xf numFmtId="0" fontId="14" fillId="3" borderId="36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7" fillId="3" borderId="36" xfId="0" applyFont="1" applyFill="1" applyBorder="1" applyAlignment="1">
      <alignment horizontal="center" vertical="center" wrapText="1"/>
    </xf>
    <xf numFmtId="0" fontId="17" fillId="3" borderId="87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23" xfId="0" applyFont="1" applyFill="1" applyBorder="1" applyAlignment="1">
      <alignment horizontal="center" vertical="center" wrapText="1"/>
    </xf>
    <xf numFmtId="183" fontId="3" fillId="0" borderId="1" xfId="0" applyNumberFormat="1" applyFont="1" applyBorder="1" applyAlignment="1">
      <alignment horizontal="center" vertical="center" shrinkToFit="1"/>
    </xf>
    <xf numFmtId="183" fontId="3" fillId="0" borderId="23" xfId="0" applyNumberFormat="1" applyFont="1" applyBorder="1" applyAlignment="1">
      <alignment horizontal="center" vertical="center" shrinkToFit="1"/>
    </xf>
    <xf numFmtId="38" fontId="3" fillId="5" borderId="16" xfId="1" applyFont="1" applyFill="1" applyBorder="1" applyAlignment="1" applyProtection="1">
      <alignment horizontal="right" vertical="center" shrinkToFit="1"/>
      <protection locked="0"/>
    </xf>
    <xf numFmtId="38" fontId="3" fillId="5" borderId="17" xfId="1" applyFont="1" applyFill="1" applyBorder="1" applyAlignment="1" applyProtection="1">
      <alignment horizontal="right" vertical="center" shrinkToFit="1"/>
      <protection locked="0"/>
    </xf>
    <xf numFmtId="180" fontId="0" fillId="5" borderId="76" xfId="0" applyNumberFormat="1" applyFont="1" applyFill="1" applyBorder="1" applyAlignment="1" applyProtection="1">
      <alignment horizontal="center" vertical="center" shrinkToFit="1"/>
      <protection locked="0"/>
    </xf>
    <xf numFmtId="180" fontId="0" fillId="5" borderId="17" xfId="0" applyNumberFormat="1" applyFont="1" applyFill="1" applyBorder="1" applyAlignment="1" applyProtection="1">
      <alignment horizontal="center" vertical="center" shrinkToFit="1"/>
      <protection locked="0"/>
    </xf>
    <xf numFmtId="180" fontId="0" fillId="5" borderId="84" xfId="0" applyNumberFormat="1" applyFont="1" applyFill="1" applyBorder="1" applyAlignment="1" applyProtection="1">
      <alignment horizontal="center" vertical="center" shrinkToFit="1"/>
      <protection locked="0"/>
    </xf>
    <xf numFmtId="0" fontId="9" fillId="4" borderId="3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177" fontId="9" fillId="2" borderId="39" xfId="0" applyNumberFormat="1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177" fontId="9" fillId="2" borderId="40" xfId="0" applyNumberFormat="1" applyFont="1" applyFill="1" applyBorder="1" applyAlignment="1" applyProtection="1">
      <alignment horizontal="center" vertical="center"/>
      <protection locked="0"/>
    </xf>
    <xf numFmtId="177" fontId="9" fillId="2" borderId="41" xfId="0" applyNumberFormat="1" applyFont="1" applyFill="1" applyBorder="1" applyAlignment="1" applyProtection="1">
      <alignment horizontal="center" vertical="center"/>
      <protection locked="0"/>
    </xf>
    <xf numFmtId="177" fontId="9" fillId="2" borderId="42" xfId="0" applyNumberFormat="1" applyFont="1" applyFill="1" applyBorder="1" applyAlignment="1" applyProtection="1">
      <alignment horizontal="center" vertical="center"/>
      <protection locked="0"/>
    </xf>
    <xf numFmtId="177" fontId="9" fillId="2" borderId="43" xfId="0" applyNumberFormat="1" applyFont="1" applyFill="1" applyBorder="1" applyAlignment="1" applyProtection="1">
      <alignment horizontal="center" vertical="center"/>
      <protection locked="0"/>
    </xf>
    <xf numFmtId="0" fontId="3" fillId="3" borderId="35" xfId="0" applyFont="1" applyFill="1" applyBorder="1" applyAlignment="1">
      <alignment horizontal="center" vertical="center" shrinkToFit="1"/>
    </xf>
    <xf numFmtId="0" fontId="8" fillId="3" borderId="36" xfId="0" applyFont="1" applyFill="1" applyBorder="1" applyAlignment="1">
      <alignment horizontal="center" vertical="center" shrinkToFit="1"/>
    </xf>
    <xf numFmtId="0" fontId="8" fillId="3" borderId="37" xfId="0" applyFont="1" applyFill="1" applyBorder="1" applyAlignment="1">
      <alignment horizontal="center" vertical="center" shrinkToFit="1"/>
    </xf>
    <xf numFmtId="0" fontId="9" fillId="2" borderId="39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40" xfId="0" applyNumberFormat="1" applyFont="1" applyFill="1" applyBorder="1" applyAlignment="1" applyProtection="1">
      <alignment horizontal="center" vertical="center"/>
      <protection locked="0"/>
    </xf>
    <xf numFmtId="0" fontId="9" fillId="2" borderId="41" xfId="0" applyNumberFormat="1" applyFont="1" applyFill="1" applyBorder="1" applyAlignment="1" applyProtection="1">
      <alignment horizontal="center" vertical="center"/>
      <protection locked="0"/>
    </xf>
    <xf numFmtId="0" fontId="9" fillId="2" borderId="42" xfId="0" applyNumberFormat="1" applyFont="1" applyFill="1" applyBorder="1" applyAlignment="1" applyProtection="1">
      <alignment horizontal="center" vertical="center"/>
      <protection locked="0"/>
    </xf>
    <xf numFmtId="0" fontId="9" fillId="2" borderId="43" xfId="0" applyNumberFormat="1" applyFont="1" applyFill="1" applyBorder="1" applyAlignment="1" applyProtection="1">
      <alignment horizontal="center" vertical="center"/>
      <protection locked="0"/>
    </xf>
    <xf numFmtId="0" fontId="29" fillId="4" borderId="0" xfId="0" applyFont="1" applyFill="1" applyBorder="1" applyAlignment="1">
      <alignment horizontal="center" vertical="center" wrapText="1"/>
    </xf>
    <xf numFmtId="38" fontId="3" fillId="5" borderId="76" xfId="1" applyFont="1" applyFill="1" applyBorder="1" applyAlignment="1" applyProtection="1">
      <alignment horizontal="right" vertical="center" shrinkToFit="1"/>
    </xf>
    <xf numFmtId="38" fontId="3" fillId="5" borderId="17" xfId="1" applyFont="1" applyFill="1" applyBorder="1" applyAlignment="1" applyProtection="1">
      <alignment horizontal="right" vertical="center" shrinkToFit="1"/>
    </xf>
    <xf numFmtId="176" fontId="28" fillId="3" borderId="10" xfId="0" applyNumberFormat="1" applyFont="1" applyFill="1" applyBorder="1" applyAlignment="1">
      <alignment horizontal="center" vertical="center" shrinkToFit="1"/>
    </xf>
    <xf numFmtId="176" fontId="28" fillId="3" borderId="11" xfId="0" applyNumberFormat="1" applyFont="1" applyFill="1" applyBorder="1" applyAlignment="1">
      <alignment horizontal="center" vertical="center" shrinkToFit="1"/>
    </xf>
    <xf numFmtId="176" fontId="28" fillId="3" borderId="12" xfId="0" applyNumberFormat="1" applyFont="1" applyFill="1" applyBorder="1" applyAlignment="1">
      <alignment horizontal="center" vertical="center" shrinkToFit="1"/>
    </xf>
    <xf numFmtId="38" fontId="3" fillId="5" borderId="13" xfId="1" applyFont="1" applyFill="1" applyBorder="1" applyAlignment="1" applyProtection="1">
      <alignment horizontal="right" vertical="center" shrinkToFit="1"/>
      <protection locked="0"/>
    </xf>
    <xf numFmtId="38" fontId="3" fillId="5" borderId="14" xfId="1" applyFont="1" applyFill="1" applyBorder="1" applyAlignment="1" applyProtection="1">
      <alignment horizontal="right" vertical="center" shrinkToFit="1"/>
      <protection locked="0"/>
    </xf>
    <xf numFmtId="38" fontId="3" fillId="5" borderId="2" xfId="1" applyFont="1" applyFill="1" applyBorder="1" applyAlignment="1" applyProtection="1">
      <alignment horizontal="right" vertical="center" shrinkToFit="1"/>
      <protection locked="0"/>
    </xf>
    <xf numFmtId="38" fontId="3" fillId="5" borderId="3" xfId="1" applyFont="1" applyFill="1" applyBorder="1" applyAlignment="1" applyProtection="1">
      <alignment horizontal="right" vertical="center" shrinkToFit="1"/>
      <protection locked="0"/>
    </xf>
    <xf numFmtId="0" fontId="29" fillId="4" borderId="0" xfId="0" applyFont="1" applyFill="1" applyBorder="1" applyAlignment="1">
      <alignment horizontal="left" vertical="center" wrapText="1"/>
    </xf>
    <xf numFmtId="0" fontId="29" fillId="4" borderId="6" xfId="0" applyFont="1" applyFill="1" applyBorder="1" applyAlignment="1">
      <alignment horizontal="left" vertical="center" wrapText="1"/>
    </xf>
    <xf numFmtId="180" fontId="0" fillId="5" borderId="16" xfId="0" applyNumberFormat="1" applyFont="1" applyFill="1" applyBorder="1" applyAlignment="1" applyProtection="1">
      <alignment horizontal="center" vertical="center" shrinkToFit="1"/>
      <protection locked="0"/>
    </xf>
    <xf numFmtId="180" fontId="0" fillId="5" borderId="79" xfId="0" applyNumberFormat="1" applyFont="1" applyFill="1" applyBorder="1" applyAlignment="1" applyProtection="1">
      <alignment horizontal="center" vertical="center" shrinkToFit="1"/>
      <protection locked="0"/>
    </xf>
    <xf numFmtId="0" fontId="24" fillId="4" borderId="0" xfId="0" applyFont="1" applyFill="1" applyBorder="1" applyAlignment="1">
      <alignment horizontal="left" vertical="center" wrapText="1"/>
    </xf>
    <xf numFmtId="38" fontId="0" fillId="8" borderId="19" xfId="1" applyFont="1" applyFill="1" applyBorder="1" applyAlignment="1" applyProtection="1">
      <alignment horizontal="center" vertical="center" shrinkToFit="1"/>
    </xf>
    <xf numFmtId="38" fontId="0" fillId="8" borderId="20" xfId="1" applyFont="1" applyFill="1" applyBorder="1" applyAlignment="1" applyProtection="1">
      <alignment horizontal="center" vertical="center" shrinkToFit="1"/>
    </xf>
    <xf numFmtId="3" fontId="3" fillId="8" borderId="19" xfId="0" applyNumberFormat="1" applyFont="1" applyFill="1" applyBorder="1" applyAlignment="1" applyProtection="1">
      <alignment horizontal="right" vertical="center" shrinkToFit="1"/>
    </xf>
    <xf numFmtId="0" fontId="3" fillId="8" borderId="20" xfId="0" applyFont="1" applyFill="1" applyBorder="1" applyAlignment="1" applyProtection="1">
      <alignment horizontal="right" vertical="center" shrinkToFit="1"/>
    </xf>
    <xf numFmtId="180" fontId="0" fillId="8" borderId="83" xfId="0" applyNumberFormat="1" applyFont="1" applyFill="1" applyBorder="1" applyAlignment="1">
      <alignment horizontal="center" vertical="center" shrinkToFit="1"/>
    </xf>
    <xf numFmtId="180" fontId="0" fillId="8" borderId="51" xfId="0" applyNumberFormat="1" applyFont="1" applyFill="1" applyBorder="1" applyAlignment="1">
      <alignment horizontal="center" vertical="center" shrinkToFit="1"/>
    </xf>
    <xf numFmtId="180" fontId="0" fillId="8" borderId="53" xfId="0" applyNumberFormat="1" applyFont="1" applyFill="1" applyBorder="1" applyAlignment="1">
      <alignment horizontal="center" vertical="center" shrinkToFit="1"/>
    </xf>
    <xf numFmtId="185" fontId="34" fillId="0" borderId="0" xfId="0" applyNumberFormat="1" applyFont="1" applyAlignment="1">
      <alignment horizontal="center" vertical="center" shrinkToFit="1"/>
    </xf>
    <xf numFmtId="38" fontId="3" fillId="5" borderId="16" xfId="1" applyFont="1" applyFill="1" applyBorder="1" applyAlignment="1">
      <alignment horizontal="right" vertical="center" shrinkToFit="1"/>
    </xf>
    <xf numFmtId="38" fontId="3" fillId="5" borderId="17" xfId="1" applyFont="1" applyFill="1" applyBorder="1" applyAlignment="1">
      <alignment horizontal="right" vertical="center" shrinkToFit="1"/>
    </xf>
    <xf numFmtId="0" fontId="7" fillId="4" borderId="5" xfId="0" applyFont="1" applyFill="1" applyBorder="1" applyAlignment="1">
      <alignment horizontal="left" vertical="center" shrinkToFit="1"/>
    </xf>
    <xf numFmtId="0" fontId="7" fillId="4" borderId="6" xfId="0" applyFont="1" applyFill="1" applyBorder="1" applyAlignment="1">
      <alignment horizontal="left" vertical="center" shrinkToFit="1"/>
    </xf>
    <xf numFmtId="0" fontId="8" fillId="3" borderId="39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shrinkToFit="1"/>
    </xf>
    <xf numFmtId="0" fontId="0" fillId="3" borderId="35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 shrinkToFit="1"/>
    </xf>
    <xf numFmtId="181" fontId="5" fillId="6" borderId="1" xfId="1" applyNumberFormat="1" applyFont="1" applyFill="1" applyBorder="1" applyAlignment="1">
      <alignment horizontal="center" vertical="center" shrinkToFit="1"/>
    </xf>
    <xf numFmtId="0" fontId="31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82" fontId="14" fillId="0" borderId="1" xfId="0" applyNumberFormat="1" applyFont="1" applyBorder="1" applyAlignment="1">
      <alignment horizontal="left" vertical="center" wrapText="1"/>
    </xf>
    <xf numFmtId="182" fontId="14" fillId="0" borderId="23" xfId="0" applyNumberFormat="1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3" borderId="41" xfId="0" applyFont="1" applyFill="1" applyBorder="1" applyAlignment="1">
      <alignment horizontal="center" vertical="center" shrinkToFit="1"/>
    </xf>
    <xf numFmtId="0" fontId="8" fillId="3" borderId="42" xfId="0" applyFont="1" applyFill="1" applyBorder="1" applyAlignment="1">
      <alignment horizontal="center" vertical="center" shrinkToFit="1"/>
    </xf>
    <xf numFmtId="181" fontId="3" fillId="0" borderId="1" xfId="1" applyNumberFormat="1" applyFont="1" applyBorder="1" applyAlignment="1">
      <alignment horizontal="center" vertical="center" shrinkToFit="1"/>
    </xf>
    <xf numFmtId="181" fontId="3" fillId="0" borderId="42" xfId="1" applyNumberFormat="1" applyFont="1" applyBorder="1" applyAlignment="1">
      <alignment horizontal="center" vertical="center" shrinkToFit="1"/>
    </xf>
    <xf numFmtId="181" fontId="3" fillId="0" borderId="23" xfId="1" applyNumberFormat="1" applyFont="1" applyBorder="1" applyAlignment="1">
      <alignment horizontal="center" vertical="center" shrinkToFit="1"/>
    </xf>
    <xf numFmtId="181" fontId="3" fillId="0" borderId="88" xfId="1" applyNumberFormat="1" applyFont="1" applyBorder="1" applyAlignment="1">
      <alignment horizontal="center" vertical="center" shrinkToFit="1"/>
    </xf>
    <xf numFmtId="0" fontId="0" fillId="3" borderId="22" xfId="0" applyFill="1" applyBorder="1" applyAlignment="1">
      <alignment horizontal="center" vertical="center" shrinkToFit="1"/>
    </xf>
    <xf numFmtId="181" fontId="0" fillId="0" borderId="22" xfId="0" applyNumberFormat="1" applyBorder="1" applyAlignment="1">
      <alignment horizontal="center" vertical="center" shrinkToFit="1"/>
    </xf>
    <xf numFmtId="181" fontId="0" fillId="0" borderId="31" xfId="0" applyNumberFormat="1" applyBorder="1" applyAlignment="1">
      <alignment horizontal="center" vertical="center" shrinkToFit="1"/>
    </xf>
    <xf numFmtId="181" fontId="0" fillId="0" borderId="32" xfId="0" applyNumberFormat="1" applyBorder="1" applyAlignment="1">
      <alignment horizontal="center" vertical="center" shrinkToFit="1"/>
    </xf>
    <xf numFmtId="181" fontId="0" fillId="0" borderId="33" xfId="0" applyNumberFormat="1" applyBorder="1" applyAlignment="1">
      <alignment horizontal="center" vertical="center" shrinkToFit="1"/>
    </xf>
    <xf numFmtId="181" fontId="3" fillId="0" borderId="28" xfId="1" applyNumberFormat="1" applyFont="1" applyBorder="1" applyAlignment="1">
      <alignment horizontal="center" vertical="center" shrinkToFit="1"/>
    </xf>
    <xf numFmtId="181" fontId="3" fillId="0" borderId="29" xfId="1" applyNumberFormat="1" applyFont="1" applyBorder="1" applyAlignment="1">
      <alignment horizontal="center" vertical="center" shrinkToFit="1"/>
    </xf>
    <xf numFmtId="181" fontId="3" fillId="0" borderId="92" xfId="1" applyNumberFormat="1" applyFont="1" applyBorder="1" applyAlignment="1">
      <alignment horizontal="center" vertical="center" shrinkToFit="1"/>
    </xf>
    <xf numFmtId="181" fontId="3" fillId="0" borderId="53" xfId="1" applyNumberFormat="1" applyFont="1" applyBorder="1" applyAlignment="1">
      <alignment horizontal="center" vertical="center" shrinkToFit="1"/>
    </xf>
    <xf numFmtId="181" fontId="3" fillId="0" borderId="8" xfId="1" applyNumberFormat="1" applyFont="1" applyBorder="1" applyAlignment="1">
      <alignment horizontal="center" vertical="center" shrinkToFit="1"/>
    </xf>
    <xf numFmtId="181" fontId="3" fillId="0" borderId="9" xfId="1" applyNumberFormat="1" applyFont="1" applyBorder="1" applyAlignment="1">
      <alignment horizontal="center" vertical="center" shrinkToFit="1"/>
    </xf>
    <xf numFmtId="181" fontId="3" fillId="0" borderId="31" xfId="1" applyNumberFormat="1" applyFont="1" applyBorder="1" applyAlignment="1">
      <alignment horizontal="center" vertical="center" shrinkToFit="1"/>
    </xf>
    <xf numFmtId="181" fontId="3" fillId="0" borderId="32" xfId="1" applyNumberFormat="1" applyFont="1" applyBorder="1" applyAlignment="1">
      <alignment horizontal="center" vertical="center" shrinkToFit="1"/>
    </xf>
    <xf numFmtId="181" fontId="3" fillId="0" borderId="91" xfId="1" applyNumberFormat="1" applyFont="1" applyBorder="1" applyAlignment="1">
      <alignment horizontal="center" vertical="center" shrinkToFit="1"/>
    </xf>
    <xf numFmtId="176" fontId="28" fillId="3" borderId="73" xfId="0" applyNumberFormat="1" applyFont="1" applyFill="1" applyBorder="1" applyAlignment="1">
      <alignment horizontal="center" vertical="center" shrinkToFit="1"/>
    </xf>
    <xf numFmtId="176" fontId="28" fillId="3" borderId="71" xfId="0" applyNumberFormat="1" applyFont="1" applyFill="1" applyBorder="1" applyAlignment="1">
      <alignment horizontal="center" vertical="center" shrinkToFit="1"/>
    </xf>
    <xf numFmtId="38" fontId="3" fillId="5" borderId="74" xfId="1" applyFont="1" applyFill="1" applyBorder="1" applyAlignment="1" applyProtection="1">
      <alignment horizontal="right" vertical="center" shrinkToFit="1"/>
    </xf>
    <xf numFmtId="38" fontId="3" fillId="5" borderId="14" xfId="1" applyFont="1" applyFill="1" applyBorder="1" applyAlignment="1" applyProtection="1">
      <alignment horizontal="right" vertical="center" shrinkToFit="1"/>
    </xf>
    <xf numFmtId="0" fontId="3" fillId="3" borderId="38" xfId="0" applyFont="1" applyFill="1" applyBorder="1" applyAlignment="1">
      <alignment horizontal="center" vertical="center"/>
    </xf>
    <xf numFmtId="183" fontId="3" fillId="0" borderId="28" xfId="0" applyNumberFormat="1" applyFont="1" applyBorder="1" applyAlignment="1">
      <alignment horizontal="center" vertical="center" shrinkToFit="1"/>
    </xf>
    <xf numFmtId="183" fontId="3" fillId="0" borderId="29" xfId="0" applyNumberFormat="1" applyFont="1" applyBorder="1" applyAlignment="1">
      <alignment horizontal="center" vertical="center" shrinkToFit="1"/>
    </xf>
    <xf numFmtId="183" fontId="3" fillId="0" borderId="92" xfId="0" applyNumberFormat="1" applyFont="1" applyBorder="1" applyAlignment="1">
      <alignment horizontal="center" vertical="center" shrinkToFit="1"/>
    </xf>
    <xf numFmtId="183" fontId="3" fillId="0" borderId="31" xfId="0" applyNumberFormat="1" applyFont="1" applyBorder="1" applyAlignment="1">
      <alignment horizontal="center" vertical="center" shrinkToFit="1"/>
    </xf>
    <xf numFmtId="183" fontId="3" fillId="0" borderId="32" xfId="0" applyNumberFormat="1" applyFont="1" applyBorder="1" applyAlignment="1">
      <alignment horizontal="center" vertical="center" shrinkToFit="1"/>
    </xf>
    <xf numFmtId="183" fontId="3" fillId="0" borderId="91" xfId="0" applyNumberFormat="1" applyFont="1" applyBorder="1" applyAlignment="1">
      <alignment horizontal="center" vertical="center" shrinkToFit="1"/>
    </xf>
    <xf numFmtId="0" fontId="17" fillId="3" borderId="90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31" xfId="0" applyFont="1" applyFill="1" applyBorder="1" applyAlignment="1">
      <alignment horizontal="center" vertical="center" wrapText="1"/>
    </xf>
    <xf numFmtId="0" fontId="17" fillId="3" borderId="32" xfId="0" applyFont="1" applyFill="1" applyBorder="1" applyAlignment="1">
      <alignment horizontal="center" vertical="center" wrapText="1"/>
    </xf>
    <xf numFmtId="0" fontId="17" fillId="3" borderId="91" xfId="0" applyFont="1" applyFill="1" applyBorder="1" applyAlignment="1">
      <alignment horizontal="center" vertical="center" wrapText="1"/>
    </xf>
    <xf numFmtId="0" fontId="8" fillId="3" borderId="93" xfId="0" applyFont="1" applyFill="1" applyBorder="1" applyAlignment="1">
      <alignment horizontal="center" vertical="center" wrapText="1" shrinkToFit="1"/>
    </xf>
    <xf numFmtId="0" fontId="8" fillId="3" borderId="29" xfId="0" applyFont="1" applyFill="1" applyBorder="1" applyAlignment="1">
      <alignment horizontal="center" vertical="center" shrinkToFit="1"/>
    </xf>
    <xf numFmtId="0" fontId="8" fillId="3" borderId="30" xfId="0" applyFont="1" applyFill="1" applyBorder="1" applyAlignment="1">
      <alignment horizontal="center" vertical="center" shrinkToFit="1"/>
    </xf>
    <xf numFmtId="0" fontId="8" fillId="3" borderId="94" xfId="0" applyFont="1" applyFill="1" applyBorder="1" applyAlignment="1">
      <alignment horizontal="center" vertical="center" shrinkToFit="1"/>
    </xf>
    <xf numFmtId="0" fontId="8" fillId="3" borderId="32" xfId="0" applyFont="1" applyFill="1" applyBorder="1" applyAlignment="1">
      <alignment horizontal="center" vertical="center" shrinkToFit="1"/>
    </xf>
    <xf numFmtId="0" fontId="8" fillId="3" borderId="33" xfId="0" applyFont="1" applyFill="1" applyBorder="1" applyAlignment="1">
      <alignment horizontal="center" vertical="center" shrinkToFit="1"/>
    </xf>
    <xf numFmtId="181" fontId="3" fillId="0" borderId="95" xfId="1" applyNumberFormat="1" applyFont="1" applyBorder="1" applyAlignment="1">
      <alignment horizontal="center" vertical="center" shrinkToFit="1"/>
    </xf>
    <xf numFmtId="181" fontId="3" fillId="0" borderId="96" xfId="1" applyNumberFormat="1" applyFont="1" applyBorder="1" applyAlignment="1">
      <alignment horizontal="center" vertical="center" shrinkToFit="1"/>
    </xf>
    <xf numFmtId="181" fontId="3" fillId="0" borderId="97" xfId="1" applyNumberFormat="1" applyFont="1" applyBorder="1" applyAlignment="1">
      <alignment horizontal="center" vertical="center" shrinkToFit="1"/>
    </xf>
    <xf numFmtId="181" fontId="3" fillId="0" borderId="98" xfId="1" applyNumberFormat="1" applyFont="1" applyBorder="1" applyAlignment="1">
      <alignment horizontal="center" vertical="center" shrinkToFit="1"/>
    </xf>
    <xf numFmtId="181" fontId="3" fillId="0" borderId="99" xfId="1" applyNumberFormat="1" applyFont="1" applyBorder="1" applyAlignment="1">
      <alignment horizontal="center" vertical="center" shrinkToFit="1"/>
    </xf>
    <xf numFmtId="181" fontId="3" fillId="0" borderId="100" xfId="1" applyNumberFormat="1" applyFont="1" applyBorder="1" applyAlignment="1">
      <alignment horizontal="center" vertical="center" shrinkToFit="1"/>
    </xf>
    <xf numFmtId="38" fontId="3" fillId="8" borderId="19" xfId="1" applyFont="1" applyFill="1" applyBorder="1" applyAlignment="1">
      <alignment horizontal="right" vertical="center" shrinkToFit="1"/>
    </xf>
    <xf numFmtId="38" fontId="3" fillId="8" borderId="20" xfId="1" applyFont="1" applyFill="1" applyBorder="1" applyAlignment="1">
      <alignment horizontal="right" vertical="center" shrinkToFit="1"/>
    </xf>
    <xf numFmtId="38" fontId="3" fillId="5" borderId="13" xfId="1" applyFont="1" applyFill="1" applyBorder="1" applyAlignment="1" applyProtection="1">
      <alignment horizontal="right" vertical="center" shrinkToFit="1"/>
    </xf>
    <xf numFmtId="181" fontId="5" fillId="6" borderId="41" xfId="0" applyNumberFormat="1" applyFont="1" applyFill="1" applyBorder="1" applyAlignment="1">
      <alignment horizontal="center" vertical="center" shrinkToFit="1"/>
    </xf>
    <xf numFmtId="181" fontId="5" fillId="6" borderId="42" xfId="0" applyNumberFormat="1" applyFont="1" applyFill="1" applyBorder="1" applyAlignment="1">
      <alignment horizontal="center" vertical="center" shrinkToFit="1"/>
    </xf>
    <xf numFmtId="181" fontId="5" fillId="6" borderId="43" xfId="0" applyNumberFormat="1" applyFont="1" applyFill="1" applyBorder="1" applyAlignment="1">
      <alignment horizontal="center" vertical="center" shrinkToFit="1"/>
    </xf>
    <xf numFmtId="38" fontId="3" fillId="8" borderId="20" xfId="0" applyNumberFormat="1" applyFont="1" applyFill="1" applyBorder="1" applyAlignment="1" applyProtection="1">
      <alignment horizontal="right" vertical="center" shrinkToFit="1"/>
    </xf>
    <xf numFmtId="180" fontId="0" fillId="8" borderId="50" xfId="0" applyNumberFormat="1" applyFont="1" applyFill="1" applyBorder="1" applyAlignment="1">
      <alignment horizontal="center" vertical="center" shrinkToFit="1"/>
    </xf>
    <xf numFmtId="38" fontId="8" fillId="8" borderId="86" xfId="1" applyFont="1" applyFill="1" applyBorder="1" applyAlignment="1" applyProtection="1">
      <alignment horizontal="right" vertical="center" shrinkToFit="1"/>
    </xf>
    <xf numFmtId="38" fontId="8" fillId="8" borderId="20" xfId="1" applyFont="1" applyFill="1" applyBorder="1" applyAlignment="1" applyProtection="1">
      <alignment horizontal="right" vertical="center" shrinkToFit="1"/>
    </xf>
    <xf numFmtId="0" fontId="3" fillId="3" borderId="1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178" fontId="5" fillId="3" borderId="44" xfId="0" applyNumberFormat="1" applyFont="1" applyFill="1" applyBorder="1" applyAlignment="1">
      <alignment horizontal="center" vertical="center" shrinkToFit="1"/>
    </xf>
    <xf numFmtId="178" fontId="5" fillId="3" borderId="45" xfId="0" applyNumberFormat="1" applyFont="1" applyFill="1" applyBorder="1" applyAlignment="1">
      <alignment horizontal="center" vertical="center" shrinkToFit="1"/>
    </xf>
    <xf numFmtId="178" fontId="5" fillId="3" borderId="46" xfId="0" applyNumberFormat="1" applyFont="1" applyFill="1" applyBorder="1" applyAlignment="1">
      <alignment horizontal="center" vertical="center" shrinkToFit="1"/>
    </xf>
    <xf numFmtId="181" fontId="14" fillId="0" borderId="1" xfId="0" applyNumberFormat="1" applyFont="1" applyBorder="1" applyAlignment="1">
      <alignment horizontal="left" vertical="center" wrapText="1"/>
    </xf>
    <xf numFmtId="181" fontId="14" fillId="0" borderId="1" xfId="0" applyNumberFormat="1" applyFont="1" applyBorder="1" applyAlignment="1">
      <alignment horizontal="left" vertical="center"/>
    </xf>
    <xf numFmtId="181" fontId="14" fillId="0" borderId="23" xfId="0" applyNumberFormat="1" applyFont="1" applyBorder="1" applyAlignment="1">
      <alignment horizontal="left" vertical="center"/>
    </xf>
    <xf numFmtId="181" fontId="5" fillId="6" borderId="39" xfId="0" applyNumberFormat="1" applyFont="1" applyFill="1" applyBorder="1" applyAlignment="1">
      <alignment horizontal="center" vertical="center" shrinkToFit="1"/>
    </xf>
    <xf numFmtId="181" fontId="5" fillId="6" borderId="1" xfId="0" applyNumberFormat="1" applyFont="1" applyFill="1" applyBorder="1" applyAlignment="1">
      <alignment horizontal="center" vertical="center" shrinkToFit="1"/>
    </xf>
    <xf numFmtId="181" fontId="5" fillId="6" borderId="40" xfId="0" applyNumberFormat="1" applyFont="1" applyFill="1" applyBorder="1" applyAlignment="1">
      <alignment horizontal="center" vertical="center" shrinkToFit="1"/>
    </xf>
    <xf numFmtId="38" fontId="3" fillId="8" borderId="19" xfId="1" applyFont="1" applyFill="1" applyBorder="1" applyAlignment="1" applyProtection="1">
      <alignment horizontal="right" vertical="center" shrinkToFit="1"/>
    </xf>
    <xf numFmtId="38" fontId="3" fillId="8" borderId="20" xfId="1" applyFont="1" applyFill="1" applyBorder="1" applyAlignment="1" applyProtection="1">
      <alignment horizontal="right" vertical="center" shrinkToFit="1"/>
    </xf>
    <xf numFmtId="181" fontId="20" fillId="3" borderId="1" xfId="1" applyNumberFormat="1" applyFont="1" applyFill="1" applyBorder="1" applyAlignment="1">
      <alignment horizontal="center" vertical="center" wrapText="1" shrinkToFit="1"/>
    </xf>
    <xf numFmtId="181" fontId="20" fillId="3" borderId="1" xfId="1" applyNumberFormat="1" applyFont="1" applyFill="1" applyBorder="1" applyAlignment="1">
      <alignment horizontal="center" vertical="center" shrinkToFit="1"/>
    </xf>
    <xf numFmtId="181" fontId="25" fillId="6" borderId="1" xfId="0" applyNumberFormat="1" applyFont="1" applyFill="1" applyBorder="1" applyAlignment="1">
      <alignment horizontal="center" vertical="center" shrinkToFit="1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38" fontId="3" fillId="8" borderId="19" xfId="0" applyNumberFormat="1" applyFont="1" applyFill="1" applyBorder="1" applyAlignment="1" applyProtection="1">
      <alignment horizontal="right" vertical="center" shrinkToFit="1"/>
    </xf>
    <xf numFmtId="0" fontId="0" fillId="0" borderId="0" xfId="0" applyAlignment="1">
      <alignment horizontal="center" vertical="center"/>
    </xf>
    <xf numFmtId="180" fontId="0" fillId="5" borderId="13" xfId="0" applyNumberFormat="1" applyFont="1" applyFill="1" applyBorder="1" applyAlignment="1" applyProtection="1">
      <alignment horizontal="center" vertical="center" shrinkToFit="1"/>
      <protection locked="0"/>
    </xf>
    <xf numFmtId="180" fontId="0" fillId="5" borderId="15" xfId="0" applyNumberFormat="1" applyFont="1" applyFill="1" applyBorder="1" applyAlignment="1" applyProtection="1">
      <alignment horizontal="center" vertical="center" shrinkToFit="1"/>
      <protection locked="0"/>
    </xf>
    <xf numFmtId="180" fontId="0" fillId="5" borderId="18" xfId="0" applyNumberFormat="1" applyFont="1" applyFill="1" applyBorder="1" applyAlignment="1" applyProtection="1">
      <alignment horizontal="center" vertical="center" shrinkToFit="1"/>
      <protection locked="0"/>
    </xf>
    <xf numFmtId="180" fontId="0" fillId="8" borderId="19" xfId="0" applyNumberFormat="1" applyFont="1" applyFill="1" applyBorder="1" applyAlignment="1">
      <alignment horizontal="center" vertical="center" shrinkToFit="1"/>
    </xf>
    <xf numFmtId="180" fontId="0" fillId="8" borderId="21" xfId="0" applyNumberFormat="1" applyFont="1" applyFill="1" applyBorder="1" applyAlignment="1">
      <alignment horizontal="center" vertical="center" shrinkToFit="1"/>
    </xf>
    <xf numFmtId="0" fontId="26" fillId="3" borderId="11" xfId="0" applyFont="1" applyFill="1" applyBorder="1" applyAlignment="1">
      <alignment horizontal="center" vertical="center" shrinkToFit="1"/>
    </xf>
    <xf numFmtId="0" fontId="7" fillId="4" borderId="0" xfId="0" applyFont="1" applyFill="1" applyBorder="1" applyAlignment="1">
      <alignment horizontal="left" vertical="center" shrinkToFit="1"/>
    </xf>
    <xf numFmtId="0" fontId="26" fillId="3" borderId="82" xfId="0" applyFont="1" applyFill="1" applyBorder="1" applyAlignment="1">
      <alignment horizontal="center" vertical="center" shrinkToFit="1"/>
    </xf>
    <xf numFmtId="0" fontId="26" fillId="3" borderId="59" xfId="0" applyFont="1" applyFill="1" applyBorder="1" applyAlignment="1">
      <alignment horizontal="center" vertical="center" shrinkToFit="1"/>
    </xf>
    <xf numFmtId="0" fontId="26" fillId="3" borderId="61" xfId="0" applyFont="1" applyFill="1" applyBorder="1" applyAlignment="1">
      <alignment horizontal="center" vertical="center" shrinkToFit="1"/>
    </xf>
    <xf numFmtId="0" fontId="26" fillId="3" borderId="58" xfId="0" applyFont="1" applyFill="1" applyBorder="1" applyAlignment="1">
      <alignment horizontal="center" vertical="center" shrinkToFit="1"/>
    </xf>
    <xf numFmtId="180" fontId="0" fillId="5" borderId="56" xfId="0" applyNumberFormat="1" applyFont="1" applyFill="1" applyBorder="1" applyAlignment="1" applyProtection="1">
      <alignment horizontal="center" vertical="center" shrinkToFit="1"/>
      <protection locked="0"/>
    </xf>
    <xf numFmtId="180" fontId="0" fillId="5" borderId="57" xfId="0" applyNumberFormat="1" applyFont="1" applyFill="1" applyBorder="1" applyAlignment="1" applyProtection="1">
      <alignment horizontal="center" vertical="center" shrinkToFit="1"/>
      <protection locked="0"/>
    </xf>
    <xf numFmtId="180" fontId="0" fillId="5" borderId="81" xfId="0" applyNumberFormat="1" applyFont="1" applyFill="1" applyBorder="1" applyAlignment="1" applyProtection="1">
      <alignment horizontal="center" vertical="center" shrinkToFit="1"/>
      <protection locked="0"/>
    </xf>
    <xf numFmtId="180" fontId="0" fillId="5" borderId="85" xfId="0" applyNumberFormat="1" applyFont="1" applyFill="1" applyBorder="1" applyAlignment="1" applyProtection="1">
      <alignment horizontal="center" vertical="center" shrinkToFit="1"/>
      <protection locked="0"/>
    </xf>
    <xf numFmtId="180" fontId="0" fillId="5" borderId="3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right" indent="1"/>
    </xf>
    <xf numFmtId="0" fontId="8" fillId="0" borderId="0" xfId="0" applyFont="1" applyAlignment="1">
      <alignment horizontal="right" indent="1"/>
    </xf>
    <xf numFmtId="180" fontId="0" fillId="0" borderId="1" xfId="0" applyNumberFormat="1" applyBorder="1" applyAlignment="1">
      <alignment horizontal="center" vertical="center" shrinkToFit="1"/>
    </xf>
    <xf numFmtId="0" fontId="24" fillId="4" borderId="0" xfId="0" applyFont="1" applyFill="1" applyBorder="1" applyAlignment="1">
      <alignment horizontal="center" vertical="center"/>
    </xf>
    <xf numFmtId="0" fontId="35" fillId="0" borderId="8" xfId="0" applyFont="1" applyBorder="1" applyAlignment="1">
      <alignment horizontal="left" vertical="center" shrinkToFit="1"/>
    </xf>
    <xf numFmtId="184" fontId="23" fillId="0" borderId="0" xfId="0" applyNumberFormat="1" applyFont="1" applyFill="1" applyBorder="1" applyAlignment="1">
      <alignment horizontal="center" vertical="center" shrinkToFit="1"/>
    </xf>
    <xf numFmtId="185" fontId="9" fillId="0" borderId="0" xfId="0" applyNumberFormat="1" applyFont="1" applyFill="1" applyBorder="1" applyAlignment="1">
      <alignment horizontal="right" vertical="center"/>
    </xf>
    <xf numFmtId="0" fontId="0" fillId="4" borderId="5" xfId="0" applyFill="1" applyBorder="1" applyAlignment="1">
      <alignment horizontal="right" vertical="center"/>
    </xf>
    <xf numFmtId="0" fontId="10" fillId="0" borderId="1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 shrinkToFit="1"/>
    </xf>
    <xf numFmtId="0" fontId="10" fillId="0" borderId="24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left"/>
    </xf>
    <xf numFmtId="0" fontId="10" fillId="0" borderId="27" xfId="0" applyFont="1" applyBorder="1" applyAlignment="1" applyProtection="1">
      <alignment horizontal="center" vertical="center"/>
    </xf>
    <xf numFmtId="0" fontId="10" fillId="0" borderId="22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textRotation="255"/>
    </xf>
    <xf numFmtId="0" fontId="0" fillId="2" borderId="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36" fillId="0" borderId="0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 shrinkToFit="1"/>
    </xf>
    <xf numFmtId="38" fontId="37" fillId="0" borderId="0" xfId="1" applyFont="1" applyFill="1" applyBorder="1" applyAlignment="1">
      <alignment horizontal="right" vertical="center"/>
    </xf>
    <xf numFmtId="0" fontId="37" fillId="0" borderId="0" xfId="0" applyFont="1" applyAlignment="1">
      <alignment horizontal="right" vertical="center"/>
    </xf>
    <xf numFmtId="38" fontId="37" fillId="0" borderId="0" xfId="1" applyFont="1" applyAlignment="1">
      <alignment vertical="center"/>
    </xf>
    <xf numFmtId="38" fontId="37" fillId="0" borderId="0" xfId="0" applyNumberFormat="1" applyFont="1" applyAlignment="1">
      <alignment horizontal="right" vertical="center"/>
    </xf>
    <xf numFmtId="38" fontId="40" fillId="0" borderId="0" xfId="1" applyFont="1" applyAlignment="1">
      <alignment vertical="center"/>
    </xf>
    <xf numFmtId="38" fontId="40" fillId="0" borderId="0" xfId="1" applyFont="1" applyBorder="1" applyAlignment="1">
      <alignment vertical="center"/>
    </xf>
    <xf numFmtId="38" fontId="37" fillId="0" borderId="0" xfId="1" applyNumberFormat="1" applyFont="1" applyAlignment="1">
      <alignment horizontal="right" vertical="center"/>
    </xf>
    <xf numFmtId="0" fontId="41" fillId="0" borderId="0" xfId="0" applyFont="1" applyFill="1" applyBorder="1" applyAlignment="1">
      <alignment horizontal="center" vertical="center" shrinkToFit="1"/>
    </xf>
    <xf numFmtId="38" fontId="41" fillId="0" borderId="0" xfId="1" applyFont="1" applyFill="1" applyBorder="1" applyAlignment="1">
      <alignment horizontal="right" vertical="center" shrinkToFit="1"/>
    </xf>
    <xf numFmtId="0" fontId="41" fillId="0" borderId="0" xfId="0" applyFont="1" applyAlignment="1">
      <alignment horizontal="right" vertical="center"/>
    </xf>
    <xf numFmtId="38" fontId="37" fillId="0" borderId="0" xfId="1" applyFont="1" applyAlignment="1">
      <alignment vertical="center" shrinkToFit="1"/>
    </xf>
    <xf numFmtId="38" fontId="41" fillId="0" borderId="0" xfId="1" applyNumberFormat="1" applyFont="1" applyFill="1" applyBorder="1" applyAlignment="1">
      <alignment horizontal="right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56">
    <dxf>
      <fill>
        <patternFill>
          <bgColor rgb="FFFFC7CE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9933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9933"/>
        </patternFill>
      </fill>
    </dxf>
    <dxf>
      <fill>
        <patternFill>
          <bgColor rgb="FFFCE0C8"/>
        </patternFill>
      </fill>
    </dxf>
    <dxf>
      <font>
        <color rgb="FFFF0000"/>
      </font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CE0C8"/>
        </patternFill>
      </fill>
    </dxf>
  </dxfs>
  <tableStyles count="0" defaultTableStyle="TableStyleMedium2" defaultPivotStyle="PivotStyleMedium9"/>
  <colors>
    <mruColors>
      <color rgb="FFFF9933"/>
      <color rgb="FFFFFF66"/>
      <color rgb="FFCCECFF"/>
      <color rgb="FFFCE0C8"/>
      <color rgb="FFFFCCFF"/>
      <color rgb="FFFFFF99"/>
      <color rgb="FFFCE2CC"/>
      <color rgb="FFFFFFCC"/>
      <color rgb="FFFFD5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29992;&#35486;&#38598;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35336;&#31639;&#12471;&#12540;&#12488;!C7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231321</xdr:colOff>
      <xdr:row>2</xdr:row>
      <xdr:rowOff>122465</xdr:rowOff>
    </xdr:from>
    <xdr:to>
      <xdr:col>3</xdr:col>
      <xdr:colOff>27214</xdr:colOff>
      <xdr:row>2</xdr:row>
      <xdr:rowOff>548508</xdr:rowOff>
    </xdr:to>
    <xdr:sp macro="" textlink="">
      <xdr:nvSpPr>
        <xdr:cNvPr id="16" name="二等辺三角形 15"/>
        <xdr:cNvSpPr/>
      </xdr:nvSpPr>
      <xdr:spPr>
        <a:xfrm>
          <a:off x="381000" y="925286"/>
          <a:ext cx="530678" cy="426043"/>
        </a:xfrm>
        <a:prstGeom prst="triangle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203201</xdr:colOff>
      <xdr:row>29</xdr:row>
      <xdr:rowOff>6802</xdr:rowOff>
    </xdr:from>
    <xdr:to>
      <xdr:col>55</xdr:col>
      <xdr:colOff>157843</xdr:colOff>
      <xdr:row>38</xdr:row>
      <xdr:rowOff>131989</xdr:rowOff>
    </xdr:to>
    <xdr:sp macro="" textlink="">
      <xdr:nvSpPr>
        <xdr:cNvPr id="3" name="角丸四角形 2"/>
        <xdr:cNvSpPr/>
      </xdr:nvSpPr>
      <xdr:spPr>
        <a:xfrm>
          <a:off x="10756901" y="8674552"/>
          <a:ext cx="7231742" cy="2696937"/>
        </a:xfrm>
        <a:prstGeom prst="roundRect">
          <a:avLst/>
        </a:prstGeom>
        <a:solidFill>
          <a:schemeClr val="accent2">
            <a:lumMod val="75000"/>
            <a:alpha val="7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95252</xdr:colOff>
      <xdr:row>30</xdr:row>
      <xdr:rowOff>27213</xdr:rowOff>
    </xdr:from>
    <xdr:to>
      <xdr:col>55</xdr:col>
      <xdr:colOff>163286</xdr:colOff>
      <xdr:row>38</xdr:row>
      <xdr:rowOff>108856</xdr:rowOff>
    </xdr:to>
    <xdr:sp macro="" textlink="">
      <xdr:nvSpPr>
        <xdr:cNvPr id="6" name="角丸四角形 5"/>
        <xdr:cNvSpPr/>
      </xdr:nvSpPr>
      <xdr:spPr>
        <a:xfrm>
          <a:off x="11443609" y="8980713"/>
          <a:ext cx="5728606" cy="2367643"/>
        </a:xfrm>
        <a:prstGeom prst="roundRect">
          <a:avLst/>
        </a:prstGeom>
        <a:solidFill>
          <a:schemeClr val="accent2">
            <a:alpha val="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200" b="1"/>
            <a:t>試算の結果は概算額です。</a:t>
          </a:r>
          <a:endParaRPr kumimoji="1" lang="en-US" altLang="ja-JP" sz="3200" b="1"/>
        </a:p>
        <a:p>
          <a:pPr algn="l"/>
          <a:r>
            <a:rPr kumimoji="1" lang="ja-JP" altLang="en-US" sz="3200" b="1"/>
            <a:t>実際の税額と異なる場合があります。</a:t>
          </a:r>
        </a:p>
      </xdr:txBody>
    </xdr:sp>
    <xdr:clientData/>
  </xdr:twoCellAnchor>
  <xdr:twoCellAnchor>
    <xdr:from>
      <xdr:col>0</xdr:col>
      <xdr:colOff>99579</xdr:colOff>
      <xdr:row>1</xdr:row>
      <xdr:rowOff>31297</xdr:rowOff>
    </xdr:from>
    <xdr:to>
      <xdr:col>32</xdr:col>
      <xdr:colOff>939140</xdr:colOff>
      <xdr:row>2</xdr:row>
      <xdr:rowOff>21773</xdr:rowOff>
    </xdr:to>
    <xdr:sp macro="" textlink="">
      <xdr:nvSpPr>
        <xdr:cNvPr id="2" name="角丸四角形 1"/>
        <xdr:cNvSpPr/>
      </xdr:nvSpPr>
      <xdr:spPr>
        <a:xfrm>
          <a:off x="99579" y="212272"/>
          <a:ext cx="10021661" cy="609601"/>
        </a:xfrm>
        <a:prstGeom prst="roundRect">
          <a:avLst/>
        </a:prstGeom>
        <a:solidFill>
          <a:schemeClr val="accent1">
            <a:alpha val="2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95250</xdr:colOff>
      <xdr:row>31</xdr:row>
      <xdr:rowOff>163295</xdr:rowOff>
    </xdr:from>
    <xdr:to>
      <xdr:col>38</xdr:col>
      <xdr:colOff>408214</xdr:colOff>
      <xdr:row>34</xdr:row>
      <xdr:rowOff>231323</xdr:rowOff>
    </xdr:to>
    <xdr:sp macro="" textlink="">
      <xdr:nvSpPr>
        <xdr:cNvPr id="4" name="二等辺三角形 3"/>
        <xdr:cNvSpPr/>
      </xdr:nvSpPr>
      <xdr:spPr>
        <a:xfrm>
          <a:off x="10137321" y="9402545"/>
          <a:ext cx="1183822" cy="925278"/>
        </a:xfrm>
        <a:prstGeom prst="triangle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3600" b="1">
            <a:solidFill>
              <a:srgbClr val="FF0000"/>
            </a:solidFill>
          </a:endParaRPr>
        </a:p>
      </xdr:txBody>
    </xdr:sp>
    <xdr:clientData/>
  </xdr:twoCellAnchor>
  <xdr:twoCellAnchor>
    <xdr:from>
      <xdr:col>36</xdr:col>
      <xdr:colOff>259443</xdr:colOff>
      <xdr:row>32</xdr:row>
      <xdr:rowOff>35378</xdr:rowOff>
    </xdr:from>
    <xdr:to>
      <xdr:col>38</xdr:col>
      <xdr:colOff>193221</xdr:colOff>
      <xdr:row>35</xdr:row>
      <xdr:rowOff>16328</xdr:rowOff>
    </xdr:to>
    <xdr:sp macro="" textlink="">
      <xdr:nvSpPr>
        <xdr:cNvPr id="5" name="円/楕円 4"/>
        <xdr:cNvSpPr/>
      </xdr:nvSpPr>
      <xdr:spPr>
        <a:xfrm>
          <a:off x="10301514" y="9560378"/>
          <a:ext cx="804636" cy="838200"/>
        </a:xfrm>
        <a:prstGeom prst="ellipse">
          <a:avLst/>
        </a:prstGeom>
        <a:solidFill>
          <a:schemeClr val="accent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800" b="1">
              <a:solidFill>
                <a:srgbClr val="FF0000"/>
              </a:solidFill>
            </a:rPr>
            <a:t>！</a:t>
          </a:r>
        </a:p>
      </xdr:txBody>
    </xdr:sp>
    <xdr:clientData/>
  </xdr:twoCellAnchor>
  <xdr:twoCellAnchor>
    <xdr:from>
      <xdr:col>37</xdr:col>
      <xdr:colOff>302559</xdr:colOff>
      <xdr:row>4</xdr:row>
      <xdr:rowOff>22411</xdr:rowOff>
    </xdr:from>
    <xdr:to>
      <xdr:col>37</xdr:col>
      <xdr:colOff>414617</xdr:colOff>
      <xdr:row>8</xdr:row>
      <xdr:rowOff>235324</xdr:rowOff>
    </xdr:to>
    <xdr:sp macro="" textlink="">
      <xdr:nvSpPr>
        <xdr:cNvPr id="7" name="左中かっこ 6"/>
        <xdr:cNvSpPr/>
      </xdr:nvSpPr>
      <xdr:spPr>
        <a:xfrm>
          <a:off x="10331824" y="1389529"/>
          <a:ext cx="112058" cy="1378324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156885</xdr:colOff>
      <xdr:row>6</xdr:row>
      <xdr:rowOff>128867</xdr:rowOff>
    </xdr:from>
    <xdr:to>
      <xdr:col>37</xdr:col>
      <xdr:colOff>302560</xdr:colOff>
      <xdr:row>8</xdr:row>
      <xdr:rowOff>280146</xdr:rowOff>
    </xdr:to>
    <xdr:cxnSp macro="">
      <xdr:nvCxnSpPr>
        <xdr:cNvPr id="9" name="カギ線コネクタ 8"/>
        <xdr:cNvCxnSpPr>
          <a:stCxn id="7" idx="1"/>
        </xdr:cNvCxnSpPr>
      </xdr:nvCxnSpPr>
      <xdr:spPr>
        <a:xfrm rot="10800000" flipV="1">
          <a:off x="10186150" y="2078691"/>
          <a:ext cx="145675" cy="733984"/>
        </a:xfrm>
        <a:prstGeom prst="bentConnector2">
          <a:avLst/>
        </a:prstGeom>
        <a:ln w="1270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241300</xdr:colOff>
      <xdr:row>0</xdr:row>
      <xdr:rowOff>116681</xdr:rowOff>
    </xdr:from>
    <xdr:to>
      <xdr:col>37</xdr:col>
      <xdr:colOff>408125</xdr:colOff>
      <xdr:row>2</xdr:row>
      <xdr:rowOff>72581</xdr:rowOff>
    </xdr:to>
    <xdr:sp macro="" textlink="">
      <xdr:nvSpPr>
        <xdr:cNvPr id="12" name="角丸四角形 11">
          <a:hlinkClick xmlns:r="http://schemas.openxmlformats.org/officeDocument/2006/relationships" r:id="rId1"/>
        </xdr:cNvPr>
        <xdr:cNvSpPr/>
      </xdr:nvSpPr>
      <xdr:spPr>
        <a:xfrm>
          <a:off x="10266363" y="116681"/>
          <a:ext cx="1452700" cy="753619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用語集へ</a:t>
          </a:r>
        </a:p>
      </xdr:txBody>
    </xdr:sp>
    <xdr:clientData/>
  </xdr:twoCellAnchor>
  <xdr:twoCellAnchor>
    <xdr:from>
      <xdr:col>13</xdr:col>
      <xdr:colOff>139700</xdr:colOff>
      <xdr:row>33</xdr:row>
      <xdr:rowOff>152400</xdr:rowOff>
    </xdr:from>
    <xdr:to>
      <xdr:col>20</xdr:col>
      <xdr:colOff>101600</xdr:colOff>
      <xdr:row>35</xdr:row>
      <xdr:rowOff>215900</xdr:rowOff>
    </xdr:to>
    <xdr:sp macro="" textlink="">
      <xdr:nvSpPr>
        <xdr:cNvPr id="13" name="角丸四角形 12">
          <a:hlinkClick xmlns:r="http://schemas.openxmlformats.org/officeDocument/2006/relationships" r:id="rId1"/>
        </xdr:cNvPr>
        <xdr:cNvSpPr/>
      </xdr:nvSpPr>
      <xdr:spPr>
        <a:xfrm>
          <a:off x="3810000" y="9715500"/>
          <a:ext cx="889000" cy="6477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/>
            <a:t>解説</a:t>
          </a:r>
        </a:p>
      </xdr:txBody>
    </xdr:sp>
    <xdr:clientData/>
  </xdr:twoCellAnchor>
  <xdr:twoCellAnchor>
    <xdr:from>
      <xdr:col>1</xdr:col>
      <xdr:colOff>108856</xdr:colOff>
      <xdr:row>1</xdr:row>
      <xdr:rowOff>503465</xdr:rowOff>
    </xdr:from>
    <xdr:to>
      <xdr:col>3</xdr:col>
      <xdr:colOff>178707</xdr:colOff>
      <xdr:row>3</xdr:row>
      <xdr:rowOff>144237</xdr:rowOff>
    </xdr:to>
    <xdr:sp macro="" textlink="">
      <xdr:nvSpPr>
        <xdr:cNvPr id="15" name="円/楕円 14"/>
        <xdr:cNvSpPr/>
      </xdr:nvSpPr>
      <xdr:spPr>
        <a:xfrm>
          <a:off x="258535" y="680358"/>
          <a:ext cx="804636" cy="987879"/>
        </a:xfrm>
        <a:prstGeom prst="ellipse">
          <a:avLst/>
        </a:prstGeom>
        <a:solidFill>
          <a:schemeClr val="accent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rgbClr val="FF0000"/>
              </a:solidFill>
            </a:rPr>
            <a:t>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57148</xdr:colOff>
      <xdr:row>10</xdr:row>
      <xdr:rowOff>66674</xdr:rowOff>
    </xdr:from>
    <xdr:to>
      <xdr:col>9</xdr:col>
      <xdr:colOff>652948</xdr:colOff>
      <xdr:row>49</xdr:row>
      <xdr:rowOff>56029</xdr:rowOff>
    </xdr:to>
    <xdr:sp macro="" textlink="">
      <xdr:nvSpPr>
        <xdr:cNvPr id="4" name="正方形/長方形 3"/>
        <xdr:cNvSpPr/>
      </xdr:nvSpPr>
      <xdr:spPr>
        <a:xfrm>
          <a:off x="57148" y="1747556"/>
          <a:ext cx="6747829" cy="6544797"/>
        </a:xfrm>
        <a:prstGeom prst="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1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2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普主（普通世帯主）</a:t>
          </a:r>
          <a:endParaRPr lang="ja-JP" altLang="ja-JP" sz="2000">
            <a:effectLst/>
          </a:endParaRPr>
        </a:p>
        <a:p>
          <a:pPr algn="l"/>
          <a:endParaRPr kumimoji="1" lang="en-US" altLang="ja-JP" sz="1100" b="1"/>
        </a:p>
        <a:p>
          <a:pPr algn="l"/>
          <a:r>
            <a:rPr kumimoji="1" lang="ja-JP" altLang="en-US" sz="1100" b="1"/>
            <a:t>　国民健康保険に加入している世帯主。所得割の算定や軽減判定は被保険者として扱います。</a:t>
          </a:r>
          <a:endParaRPr kumimoji="1" lang="en-US" altLang="ja-JP" sz="1100" b="1"/>
        </a:p>
        <a:p>
          <a:pPr algn="l"/>
          <a:endParaRPr kumimoji="1" lang="en-US" altLang="ja-JP" sz="1100" b="1"/>
        </a:p>
        <a:p>
          <a:pPr algn="l"/>
          <a:endParaRPr kumimoji="1" lang="en-US" altLang="ja-JP" sz="1100" b="1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2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擬主</a:t>
          </a:r>
          <a:r>
            <a:rPr kumimoji="1" lang="ja-JP" altLang="ja-JP" sz="2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2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擬制</a:t>
          </a:r>
          <a:r>
            <a:rPr kumimoji="1" lang="ja-JP" altLang="ja-JP" sz="2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世帯主）</a:t>
          </a:r>
          <a:endParaRPr lang="ja-JP" altLang="ja-JP" sz="2000">
            <a:effectLst/>
          </a:endParaRPr>
        </a:p>
        <a:p>
          <a:pPr algn="l"/>
          <a:endParaRPr kumimoji="1" lang="en-US" altLang="ja-JP" sz="1100" b="1"/>
        </a:p>
        <a:p>
          <a:pPr algn="l"/>
          <a:r>
            <a:rPr kumimoji="1" lang="ja-JP" altLang="en-US" sz="1100" b="1"/>
            <a:t>　国民健康保険に加入していないが、納税義務者として課税するために普主としてみなされた世帯主。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　ただし、所得割の算定からは外れますが、軽減判定の対象には含まれます。</a:t>
          </a:r>
          <a:endParaRPr kumimoji="1" lang="en-US" altLang="ja-JP" sz="1100" b="1"/>
        </a:p>
        <a:p>
          <a:pPr algn="l"/>
          <a:endParaRPr kumimoji="1" lang="en-US" altLang="ja-JP" sz="1100" b="1"/>
        </a:p>
        <a:p>
          <a:pPr algn="l"/>
          <a:endParaRPr kumimoji="1" lang="en-US" altLang="ja-JP" sz="1100" b="1"/>
        </a:p>
        <a:p>
          <a:pPr algn="l"/>
          <a:r>
            <a:rPr kumimoji="1" lang="ja-JP" altLang="en-US" sz="2000" b="1"/>
            <a:t>●特定同一世帯所属者</a:t>
          </a:r>
          <a:endParaRPr kumimoji="1" lang="en-US" altLang="ja-JP" sz="2000" b="1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　国民健康保険から後期高齢者医療制度に移行し、継続して同一の世帯に属し、かつ世帯主の変更がない方。</a:t>
          </a:r>
          <a:endParaRPr kumimoji="1" lang="en-US" altLang="ja-JP" sz="1100"/>
        </a:p>
        <a:p>
          <a:pPr algn="l"/>
          <a:r>
            <a:rPr kumimoji="1" lang="ja-JP" altLang="en-US" sz="1100"/>
            <a:t>　所得割の算定には含まれないが、軽減判定に係る世帯人数と軽減判定所得は含まれます。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57148</xdr:colOff>
      <xdr:row>0</xdr:row>
      <xdr:rowOff>57149</xdr:rowOff>
    </xdr:from>
    <xdr:to>
      <xdr:col>9</xdr:col>
      <xdr:colOff>652948</xdr:colOff>
      <xdr:row>9</xdr:row>
      <xdr:rowOff>123825</xdr:rowOff>
    </xdr:to>
    <xdr:sp macro="" textlink="">
      <xdr:nvSpPr>
        <xdr:cNvPr id="6" name="正方形/長方形 5"/>
        <xdr:cNvSpPr/>
      </xdr:nvSpPr>
      <xdr:spPr>
        <a:xfrm>
          <a:off x="57148" y="57149"/>
          <a:ext cx="6768000" cy="1609726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1"/>
        </a:p>
        <a:p>
          <a:pPr algn="l"/>
          <a:r>
            <a:rPr kumimoji="1" lang="ja-JP" altLang="en-US" sz="2000" b="1"/>
            <a:t>●課税標準額</a:t>
          </a:r>
          <a:endParaRPr kumimoji="1" lang="en-US" altLang="ja-JP" sz="2000" b="1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　所得割の算定の基となる額。</a:t>
          </a:r>
          <a:endParaRPr kumimoji="1" lang="en-US" altLang="ja-JP" sz="1100"/>
        </a:p>
        <a:p>
          <a:pPr algn="l"/>
          <a:r>
            <a:rPr kumimoji="1" lang="ja-JP" altLang="en-US" sz="1100"/>
            <a:t>　総所得金額等から基礎控除（</a:t>
          </a:r>
          <a:r>
            <a:rPr kumimoji="1" lang="en-US" altLang="ja-JP" sz="1100"/>
            <a:t>430,000</a:t>
          </a:r>
          <a:r>
            <a:rPr kumimoji="1" lang="ja-JP" altLang="en-US" sz="1100"/>
            <a:t>円）を差し引いた額となります。</a:t>
          </a:r>
          <a:endParaRPr kumimoji="1" lang="en-US" altLang="ja-JP" sz="1100"/>
        </a:p>
        <a:p>
          <a:pPr algn="l"/>
          <a:r>
            <a:rPr kumimoji="1" lang="ja-JP" altLang="en-US" sz="1100"/>
            <a:t>例）　総所得金額等　</a:t>
          </a:r>
          <a:r>
            <a:rPr kumimoji="1" lang="en-US" altLang="ja-JP" sz="1100"/>
            <a:t>1,500,000</a:t>
          </a:r>
          <a:r>
            <a:rPr kumimoji="1" lang="ja-JP" altLang="en-US" sz="1100"/>
            <a:t>円</a:t>
          </a:r>
          <a:endParaRPr kumimoji="1" lang="en-US" altLang="ja-JP" sz="1100"/>
        </a:p>
        <a:p>
          <a:pPr algn="l"/>
          <a:r>
            <a:rPr kumimoji="1" lang="ja-JP" altLang="en-US" sz="1100"/>
            <a:t>　　課税標準額　</a:t>
          </a:r>
          <a:r>
            <a:rPr kumimoji="1" lang="en-US" altLang="ja-JP" sz="1100"/>
            <a:t>1,500,000</a:t>
          </a:r>
          <a:r>
            <a:rPr kumimoji="1" lang="ja-JP" altLang="en-US" sz="1100"/>
            <a:t>円－</a:t>
          </a:r>
          <a:r>
            <a:rPr kumimoji="1" lang="en-US" altLang="ja-JP" sz="1100"/>
            <a:t>430,000</a:t>
          </a:r>
          <a:r>
            <a:rPr kumimoji="1" lang="ja-JP" altLang="en-US" sz="1100"/>
            <a:t>円＝</a:t>
          </a:r>
          <a:r>
            <a:rPr kumimoji="1" lang="en-US" altLang="ja-JP" sz="1100"/>
            <a:t>1,070,000</a:t>
          </a:r>
          <a:r>
            <a:rPr kumimoji="1" lang="ja-JP" altLang="en-US" sz="1100"/>
            <a:t>円</a:t>
          </a:r>
          <a:endParaRPr kumimoji="1" lang="en-US" altLang="ja-JP" sz="1100"/>
        </a:p>
      </xdr:txBody>
    </xdr:sp>
    <xdr:clientData/>
  </xdr:twoCellAnchor>
  <xdr:twoCellAnchor>
    <xdr:from>
      <xdr:col>8</xdr:col>
      <xdr:colOff>239806</xdr:colOff>
      <xdr:row>0</xdr:row>
      <xdr:rowOff>119344</xdr:rowOff>
    </xdr:from>
    <xdr:to>
      <xdr:col>9</xdr:col>
      <xdr:colOff>564248</xdr:colOff>
      <xdr:row>3</xdr:row>
      <xdr:rowOff>119079</xdr:rowOff>
    </xdr:to>
    <xdr:sp macro="" textlink="">
      <xdr:nvSpPr>
        <xdr:cNvPr id="7" name="角丸四角形 6">
          <a:hlinkClick xmlns:r="http://schemas.openxmlformats.org/officeDocument/2006/relationships" r:id="rId1"/>
        </xdr:cNvPr>
        <xdr:cNvSpPr/>
      </xdr:nvSpPr>
      <xdr:spPr>
        <a:xfrm>
          <a:off x="5708277" y="119344"/>
          <a:ext cx="1008000" cy="5040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/>
            <a:t>戻る</a:t>
          </a:r>
        </a:p>
      </xdr:txBody>
    </xdr:sp>
    <xdr:clientData/>
  </xdr:twoCellAnchor>
  <xdr:twoCellAnchor>
    <xdr:from>
      <xdr:col>10</xdr:col>
      <xdr:colOff>90766</xdr:colOff>
      <xdr:row>0</xdr:row>
      <xdr:rowOff>55467</xdr:rowOff>
    </xdr:from>
    <xdr:to>
      <xdr:col>20</xdr:col>
      <xdr:colOff>3007</xdr:colOff>
      <xdr:row>37</xdr:row>
      <xdr:rowOff>123263</xdr:rowOff>
    </xdr:to>
    <xdr:sp macro="" textlink="">
      <xdr:nvSpPr>
        <xdr:cNvPr id="8" name="正方形/長方形 7"/>
        <xdr:cNvSpPr/>
      </xdr:nvSpPr>
      <xdr:spPr>
        <a:xfrm>
          <a:off x="6926354" y="55467"/>
          <a:ext cx="6747829" cy="6287061"/>
        </a:xfrm>
        <a:prstGeom prst="rect">
          <a:avLst/>
        </a:prstGeom>
        <a:ln>
          <a:solidFill>
            <a:schemeClr val="accent3">
              <a:lumMod val="75000"/>
            </a:schemeClr>
          </a:solidFill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0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20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失業軽減の要件</a:t>
          </a:r>
          <a:endParaRPr lang="ja-JP" altLang="ja-JP" sz="2000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　①　雇用保険受給資格者証が発行されている方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　　　</a:t>
          </a:r>
          <a:r>
            <a:rPr kumimoji="1" lang="en-US" altLang="ja-JP" sz="1200" b="1">
              <a:solidFill>
                <a:sysClr val="windowText" lastClr="000000"/>
              </a:solidFill>
            </a:rPr>
            <a:t>※</a:t>
          </a:r>
          <a:r>
            <a:rPr kumimoji="1" lang="ja-JP" altLang="en-US" sz="1200" b="1">
              <a:solidFill>
                <a:sysClr val="windowText" lastClr="000000"/>
              </a:solidFill>
            </a:rPr>
            <a:t>（仮）と記載があるもの、特例受給資格者、および高年齢受給資格者は対象になりません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　②　離職日（離職年月日）が平成</a:t>
          </a:r>
          <a:r>
            <a:rPr kumimoji="1" lang="en-US" altLang="ja-JP" sz="1200" b="1">
              <a:solidFill>
                <a:sysClr val="windowText" lastClr="000000"/>
              </a:solidFill>
            </a:rPr>
            <a:t>21</a:t>
          </a:r>
          <a:r>
            <a:rPr kumimoji="1" lang="ja-JP" altLang="en-US" sz="1200" b="1">
              <a:solidFill>
                <a:sysClr val="windowText" lastClr="000000"/>
              </a:solidFill>
            </a:rPr>
            <a:t>年３月</a:t>
          </a:r>
          <a:r>
            <a:rPr kumimoji="1" lang="en-US" altLang="ja-JP" sz="1200" b="1">
              <a:solidFill>
                <a:sysClr val="windowText" lastClr="000000"/>
              </a:solidFill>
            </a:rPr>
            <a:t>31</a:t>
          </a:r>
          <a:r>
            <a:rPr kumimoji="1" lang="ja-JP" altLang="en-US" sz="1200" b="1">
              <a:solidFill>
                <a:sysClr val="windowText" lastClr="000000"/>
              </a:solidFill>
            </a:rPr>
            <a:t>日以降である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　③　失業時点（離職年月日）で</a:t>
          </a:r>
          <a:r>
            <a:rPr kumimoji="1" lang="en-US" altLang="ja-JP" sz="1200" b="1">
              <a:solidFill>
                <a:sysClr val="windowText" lastClr="000000"/>
              </a:solidFill>
            </a:rPr>
            <a:t>65</a:t>
          </a:r>
          <a:r>
            <a:rPr kumimoji="1" lang="ja-JP" altLang="en-US" sz="1200" b="1">
              <a:solidFill>
                <a:sysClr val="windowText" lastClr="000000"/>
              </a:solidFill>
            </a:rPr>
            <a:t>歳未満である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　④　離職理由欄に記載されている離職理由コードが次のいずれかの方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　　　ア　特定受給資格者（倒産・解雇等の事業主都合により離職した方）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　　　　　（離職理由コード　　</a:t>
          </a:r>
          <a:r>
            <a:rPr kumimoji="1" lang="en-US" altLang="ja-JP" sz="1200" b="1">
              <a:solidFill>
                <a:sysClr val="windowText" lastClr="000000"/>
              </a:solidFill>
            </a:rPr>
            <a:t>11</a:t>
          </a:r>
          <a:r>
            <a:rPr kumimoji="1" lang="ja-JP" altLang="en-US" sz="1200" b="1">
              <a:solidFill>
                <a:sysClr val="windowText" lastClr="000000"/>
              </a:solidFill>
            </a:rPr>
            <a:t>・</a:t>
          </a:r>
          <a:r>
            <a:rPr kumimoji="1" lang="en-US" altLang="ja-JP" sz="1200" b="1">
              <a:solidFill>
                <a:sysClr val="windowText" lastClr="000000"/>
              </a:solidFill>
            </a:rPr>
            <a:t>12</a:t>
          </a:r>
          <a:r>
            <a:rPr kumimoji="1" lang="ja-JP" altLang="en-US" sz="1200" b="1">
              <a:solidFill>
                <a:sysClr val="windowText" lastClr="000000"/>
              </a:solidFill>
            </a:rPr>
            <a:t>・</a:t>
          </a:r>
          <a:r>
            <a:rPr kumimoji="1" lang="en-US" altLang="ja-JP" sz="1200" b="1">
              <a:solidFill>
                <a:sysClr val="windowText" lastClr="000000"/>
              </a:solidFill>
            </a:rPr>
            <a:t>21</a:t>
          </a:r>
          <a:r>
            <a:rPr kumimoji="1" lang="ja-JP" altLang="en-US" sz="1200" b="1">
              <a:solidFill>
                <a:sysClr val="windowText" lastClr="000000"/>
              </a:solidFill>
            </a:rPr>
            <a:t>・</a:t>
          </a:r>
          <a:r>
            <a:rPr kumimoji="1" lang="en-US" altLang="ja-JP" sz="1200" b="1">
              <a:solidFill>
                <a:sysClr val="windowText" lastClr="000000"/>
              </a:solidFill>
            </a:rPr>
            <a:t>22</a:t>
          </a:r>
          <a:r>
            <a:rPr kumimoji="1" lang="ja-JP" altLang="en-US" sz="1200" b="1">
              <a:solidFill>
                <a:sysClr val="windowText" lastClr="000000"/>
              </a:solidFill>
            </a:rPr>
            <a:t>・</a:t>
          </a:r>
          <a:r>
            <a:rPr kumimoji="1" lang="en-US" altLang="ja-JP" sz="1200" b="1">
              <a:solidFill>
                <a:sysClr val="windowText" lastClr="000000"/>
              </a:solidFill>
            </a:rPr>
            <a:t>31</a:t>
          </a:r>
          <a:r>
            <a:rPr kumimoji="1" lang="ja-JP" altLang="en-US" sz="1200" b="1">
              <a:solidFill>
                <a:sysClr val="windowText" lastClr="000000"/>
              </a:solidFill>
            </a:rPr>
            <a:t>・</a:t>
          </a:r>
          <a:r>
            <a:rPr kumimoji="1" lang="en-US" altLang="ja-JP" sz="1200" b="1">
              <a:solidFill>
                <a:sysClr val="windowText" lastClr="000000"/>
              </a:solidFill>
            </a:rPr>
            <a:t>32</a:t>
          </a:r>
          <a:r>
            <a:rPr kumimoji="1" lang="ja-JP" altLang="en-US" sz="1200" b="1">
              <a:solidFill>
                <a:sysClr val="windowText" lastClr="000000"/>
              </a:solidFill>
            </a:rPr>
            <a:t>）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　　　イ　特定理由離職者（雇用期間満了などにより、やむを得ず離職した方）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　　　　　（離職理由コード　　</a:t>
          </a:r>
          <a:r>
            <a:rPr kumimoji="1" lang="en-US" altLang="ja-JP" sz="1200" b="1">
              <a:solidFill>
                <a:sysClr val="windowText" lastClr="000000"/>
              </a:solidFill>
            </a:rPr>
            <a:t>23</a:t>
          </a:r>
          <a:r>
            <a:rPr kumimoji="1" lang="ja-JP" altLang="en-US" sz="1200" b="1">
              <a:solidFill>
                <a:sysClr val="windowText" lastClr="000000"/>
              </a:solidFill>
            </a:rPr>
            <a:t>・</a:t>
          </a:r>
          <a:r>
            <a:rPr kumimoji="1" lang="en-US" altLang="ja-JP" sz="1200" b="1">
              <a:solidFill>
                <a:sysClr val="windowText" lastClr="000000"/>
              </a:solidFill>
            </a:rPr>
            <a:t>33</a:t>
          </a:r>
          <a:r>
            <a:rPr kumimoji="1" lang="ja-JP" altLang="en-US" sz="1200" b="1">
              <a:solidFill>
                <a:sysClr val="windowText" lastClr="000000"/>
              </a:solidFill>
            </a:rPr>
            <a:t>・</a:t>
          </a:r>
          <a:r>
            <a:rPr kumimoji="1" lang="en-US" altLang="ja-JP" sz="1200" b="1">
              <a:solidFill>
                <a:sysClr val="windowText" lastClr="000000"/>
              </a:solidFill>
            </a:rPr>
            <a:t>34</a:t>
          </a:r>
          <a:r>
            <a:rPr kumimoji="1" lang="ja-JP" altLang="en-US" sz="1200" b="1">
              <a:solidFill>
                <a:sysClr val="windowText" lastClr="000000"/>
              </a:solidFill>
            </a:rPr>
            <a:t>）</a:t>
          </a:r>
        </a:p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0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20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対象年度</a:t>
          </a:r>
          <a:endParaRPr kumimoji="1" lang="en-US" altLang="ja-JP" sz="20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　離職日の翌日の属する年度から２カ年度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　（例）　離職日が令和３年３月</a:t>
          </a:r>
          <a:r>
            <a:rPr kumimoji="1" lang="en-US" altLang="ja-JP" sz="1200" b="1">
              <a:solidFill>
                <a:sysClr val="windowText" lastClr="000000"/>
              </a:solidFill>
            </a:rPr>
            <a:t>31</a:t>
          </a:r>
          <a:r>
            <a:rPr kumimoji="1" lang="ja-JP" altLang="en-US" sz="1200" b="1">
              <a:solidFill>
                <a:sysClr val="windowText" lastClr="000000"/>
              </a:solidFill>
            </a:rPr>
            <a:t>日　　➩　　①翌日の令和３年４月１日の属する令和３年度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　　　　　　　　　　　　　　　　　　　　　　　　　　　  ②翌年度の令和４年度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000" b="1">
              <a:solidFill>
                <a:sysClr val="windowText" lastClr="000000"/>
              </a:solidFill>
            </a:rPr>
            <a:t>●必要書類等</a:t>
          </a:r>
          <a:endParaRPr kumimoji="1" lang="en-US" altLang="ja-JP" sz="2000" b="1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　</a:t>
          </a:r>
          <a:r>
            <a:rPr kumimoji="1" lang="ja-JP" altLang="en-US" sz="1200" b="1">
              <a:solidFill>
                <a:sysClr val="windowText" lastClr="000000"/>
              </a:solidFill>
            </a:rPr>
            <a:t>①　特例対象被保険者等申告書（</a:t>
          </a:r>
          <a:r>
            <a:rPr kumimoji="1" lang="en-US" altLang="ja-JP" sz="1200" b="1">
              <a:solidFill>
                <a:sysClr val="windowText" lastClr="000000"/>
              </a:solidFill>
            </a:rPr>
            <a:t>※</a:t>
          </a:r>
          <a:r>
            <a:rPr kumimoji="1" lang="ja-JP" altLang="en-US" sz="1200" b="1">
              <a:solidFill>
                <a:sysClr val="windowText" lastClr="000000"/>
              </a:solidFill>
            </a:rPr>
            <a:t>市役所窓口に備えています）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　②　雇用保険受給資格者証の原本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r>
            <a:rPr kumimoji="1" lang="ja-JP" altLang="en-US" sz="1200" b="1">
              <a:solidFill>
                <a:sysClr val="windowText" lastClr="000000"/>
              </a:solidFill>
            </a:rPr>
            <a:t>　</a:t>
          </a:r>
          <a:r>
            <a:rPr kumimoji="1"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000" b="1">
              <a:solidFill>
                <a:sysClr val="windowText" lastClr="000000"/>
              </a:solidFill>
            </a:rPr>
            <a:t>●提出窓口</a:t>
          </a:r>
        </a:p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　①　市役所税務課市民税係（３階）または保険年金課国保係（２階）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　②　各総合支所国保担当</a:t>
          </a:r>
          <a:endParaRPr kumimoji="1" lang="en-US" altLang="ja-JP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235324</xdr:colOff>
      <xdr:row>32</xdr:row>
      <xdr:rowOff>123265</xdr:rowOff>
    </xdr:from>
    <xdr:to>
      <xdr:col>8</xdr:col>
      <xdr:colOff>381000</xdr:colOff>
      <xdr:row>36</xdr:row>
      <xdr:rowOff>145677</xdr:rowOff>
    </xdr:to>
    <xdr:sp macro="" textlink="">
      <xdr:nvSpPr>
        <xdr:cNvPr id="3" name="角丸四角形 2"/>
        <xdr:cNvSpPr/>
      </xdr:nvSpPr>
      <xdr:spPr>
        <a:xfrm>
          <a:off x="918883" y="5502089"/>
          <a:ext cx="4930588" cy="694764"/>
        </a:xfrm>
        <a:prstGeom prst="round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/>
            <a:t>国民健康保険に加入し、かつ</a:t>
          </a:r>
          <a:r>
            <a:rPr kumimoji="1" lang="en-US" altLang="ja-JP" sz="1600"/>
            <a:t>75</a:t>
          </a:r>
          <a:r>
            <a:rPr kumimoji="1" lang="ja-JP" altLang="en-US" sz="1600"/>
            <a:t>歳になった</a:t>
          </a:r>
          <a:endParaRPr kumimoji="1" lang="en-US" altLang="ja-JP" sz="1600"/>
        </a:p>
        <a:p>
          <a:pPr algn="ctr"/>
          <a:r>
            <a:rPr kumimoji="1" lang="ja-JP" altLang="en-US" sz="1600"/>
            <a:t>その後に</a:t>
          </a:r>
          <a:r>
            <a:rPr kumimoji="1" lang="en-US" altLang="ja-JP" sz="1600"/>
            <a:t>…</a:t>
          </a:r>
          <a:endParaRPr kumimoji="1" lang="ja-JP" altLang="en-US" sz="1600"/>
        </a:p>
      </xdr:txBody>
    </xdr:sp>
    <xdr:clientData/>
  </xdr:twoCellAnchor>
  <xdr:twoCellAnchor>
    <xdr:from>
      <xdr:col>1</xdr:col>
      <xdr:colOff>100853</xdr:colOff>
      <xdr:row>38</xdr:row>
      <xdr:rowOff>33618</xdr:rowOff>
    </xdr:from>
    <xdr:to>
      <xdr:col>4</xdr:col>
      <xdr:colOff>433294</xdr:colOff>
      <xdr:row>41</xdr:row>
      <xdr:rowOff>89647</xdr:rowOff>
    </xdr:to>
    <xdr:sp macro="" textlink="">
      <xdr:nvSpPr>
        <xdr:cNvPr id="14" name="角丸四角形 13"/>
        <xdr:cNvSpPr/>
      </xdr:nvSpPr>
      <xdr:spPr>
        <a:xfrm>
          <a:off x="713441" y="6279030"/>
          <a:ext cx="2170206" cy="549088"/>
        </a:xfrm>
        <a:prstGeom prst="round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　世帯主を　　　　　　変更する</a:t>
          </a:r>
        </a:p>
      </xdr:txBody>
    </xdr:sp>
    <xdr:clientData/>
  </xdr:twoCellAnchor>
  <xdr:twoCellAnchor>
    <xdr:from>
      <xdr:col>0</xdr:col>
      <xdr:colOff>526676</xdr:colOff>
      <xdr:row>44</xdr:row>
      <xdr:rowOff>78443</xdr:rowOff>
    </xdr:from>
    <xdr:to>
      <xdr:col>4</xdr:col>
      <xdr:colOff>649940</xdr:colOff>
      <xdr:row>47</xdr:row>
      <xdr:rowOff>134472</xdr:rowOff>
    </xdr:to>
    <xdr:sp macro="" textlink="">
      <xdr:nvSpPr>
        <xdr:cNvPr id="12" name="角丸四角形 11"/>
        <xdr:cNvSpPr/>
      </xdr:nvSpPr>
      <xdr:spPr>
        <a:xfrm>
          <a:off x="526676" y="7474325"/>
          <a:ext cx="2857499" cy="560294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特定同一世帯所属者から外れる</a:t>
          </a:r>
        </a:p>
      </xdr:txBody>
    </xdr:sp>
    <xdr:clientData/>
  </xdr:twoCellAnchor>
  <xdr:twoCellAnchor>
    <xdr:from>
      <xdr:col>2</xdr:col>
      <xdr:colOff>358587</xdr:colOff>
      <xdr:row>36</xdr:row>
      <xdr:rowOff>56030</xdr:rowOff>
    </xdr:from>
    <xdr:to>
      <xdr:col>3</xdr:col>
      <xdr:colOff>112058</xdr:colOff>
      <xdr:row>44</xdr:row>
      <xdr:rowOff>3</xdr:rowOff>
    </xdr:to>
    <xdr:sp macro="" textlink="">
      <xdr:nvSpPr>
        <xdr:cNvPr id="10" name="右矢印 9"/>
        <xdr:cNvSpPr/>
      </xdr:nvSpPr>
      <xdr:spPr>
        <a:xfrm rot="5400000">
          <a:off x="1299880" y="6533031"/>
          <a:ext cx="1288679" cy="43702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324970</xdr:colOff>
      <xdr:row>38</xdr:row>
      <xdr:rowOff>33618</xdr:rowOff>
    </xdr:from>
    <xdr:to>
      <xdr:col>9</xdr:col>
      <xdr:colOff>127000</xdr:colOff>
      <xdr:row>41</xdr:row>
      <xdr:rowOff>89647</xdr:rowOff>
    </xdr:to>
    <xdr:sp macro="" textlink="">
      <xdr:nvSpPr>
        <xdr:cNvPr id="16" name="角丸四角形 15"/>
        <xdr:cNvSpPr/>
      </xdr:nvSpPr>
      <xdr:spPr>
        <a:xfrm>
          <a:off x="3387911" y="6279030"/>
          <a:ext cx="2252383" cy="549088"/>
        </a:xfrm>
        <a:prstGeom prst="round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　世帯主を　　　　　　変更しない</a:t>
          </a:r>
        </a:p>
      </xdr:txBody>
    </xdr:sp>
    <xdr:clientData/>
  </xdr:twoCellAnchor>
  <xdr:twoCellAnchor>
    <xdr:from>
      <xdr:col>6</xdr:col>
      <xdr:colOff>582705</xdr:colOff>
      <xdr:row>36</xdr:row>
      <xdr:rowOff>56030</xdr:rowOff>
    </xdr:from>
    <xdr:to>
      <xdr:col>7</xdr:col>
      <xdr:colOff>336175</xdr:colOff>
      <xdr:row>44</xdr:row>
      <xdr:rowOff>3</xdr:rowOff>
    </xdr:to>
    <xdr:sp macro="" textlink="">
      <xdr:nvSpPr>
        <xdr:cNvPr id="17" name="右矢印 16"/>
        <xdr:cNvSpPr/>
      </xdr:nvSpPr>
      <xdr:spPr>
        <a:xfrm rot="5400000">
          <a:off x="4258233" y="6533031"/>
          <a:ext cx="1288679" cy="43702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134470</xdr:colOff>
      <xdr:row>44</xdr:row>
      <xdr:rowOff>78443</xdr:rowOff>
    </xdr:from>
    <xdr:to>
      <xdr:col>9</xdr:col>
      <xdr:colOff>257734</xdr:colOff>
      <xdr:row>47</xdr:row>
      <xdr:rowOff>134472</xdr:rowOff>
    </xdr:to>
    <xdr:sp macro="" textlink="">
      <xdr:nvSpPr>
        <xdr:cNvPr id="19" name="角丸四角形 18"/>
        <xdr:cNvSpPr/>
      </xdr:nvSpPr>
      <xdr:spPr>
        <a:xfrm>
          <a:off x="3552264" y="7474325"/>
          <a:ext cx="2857499" cy="560294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特定同一世帯所属者のまま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57150</xdr:rowOff>
    </xdr:from>
    <xdr:to>
      <xdr:col>10</xdr:col>
      <xdr:colOff>657225</xdr:colOff>
      <xdr:row>23</xdr:row>
      <xdr:rowOff>117621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7515225" cy="3832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190500</xdr:colOff>
      <xdr:row>11</xdr:row>
      <xdr:rowOff>142875</xdr:rowOff>
    </xdr:from>
    <xdr:to>
      <xdr:col>4</xdr:col>
      <xdr:colOff>257175</xdr:colOff>
      <xdr:row>13</xdr:row>
      <xdr:rowOff>161925</xdr:rowOff>
    </xdr:to>
    <xdr:sp macro="" textlink="">
      <xdr:nvSpPr>
        <xdr:cNvPr id="4" name="角丸四角形 3"/>
        <xdr:cNvSpPr/>
      </xdr:nvSpPr>
      <xdr:spPr>
        <a:xfrm>
          <a:off x="1562100" y="2295525"/>
          <a:ext cx="1438275" cy="361950"/>
        </a:xfrm>
        <a:prstGeom prst="roundRect">
          <a:avLst/>
        </a:prstGeom>
        <a:solidFill>
          <a:schemeClr val="accent2">
            <a:alpha val="5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304799</xdr:colOff>
      <xdr:row>11</xdr:row>
      <xdr:rowOff>142875</xdr:rowOff>
    </xdr:from>
    <xdr:to>
      <xdr:col>6</xdr:col>
      <xdr:colOff>361948</xdr:colOff>
      <xdr:row>13</xdr:row>
      <xdr:rowOff>161925</xdr:rowOff>
    </xdr:to>
    <xdr:sp macro="" textlink="">
      <xdr:nvSpPr>
        <xdr:cNvPr id="5" name="角丸四角形 4"/>
        <xdr:cNvSpPr/>
      </xdr:nvSpPr>
      <xdr:spPr>
        <a:xfrm>
          <a:off x="3047999" y="2295525"/>
          <a:ext cx="1428749" cy="361950"/>
        </a:xfrm>
        <a:prstGeom prst="roundRect">
          <a:avLst/>
        </a:prstGeom>
        <a:solidFill>
          <a:schemeClr val="accent3">
            <a:alpha val="50000"/>
          </a:schemeClr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95250</xdr:colOff>
      <xdr:row>8</xdr:row>
      <xdr:rowOff>19050</xdr:rowOff>
    </xdr:from>
    <xdr:to>
      <xdr:col>2</xdr:col>
      <xdr:colOff>666750</xdr:colOff>
      <xdr:row>10</xdr:row>
      <xdr:rowOff>38100</xdr:rowOff>
    </xdr:to>
    <xdr:sp macro="" textlink="">
      <xdr:nvSpPr>
        <xdr:cNvPr id="6" name="角丸四角形吹き出し 5"/>
        <xdr:cNvSpPr/>
      </xdr:nvSpPr>
      <xdr:spPr>
        <a:xfrm>
          <a:off x="781050" y="1657350"/>
          <a:ext cx="1257300" cy="361950"/>
        </a:xfrm>
        <a:prstGeom prst="wedgeRoundRectCallout">
          <a:avLst>
            <a:gd name="adj1" fmla="val 48864"/>
            <a:gd name="adj2" fmla="val 117662"/>
            <a:gd name="adj3" fmla="val 16667"/>
          </a:avLst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給与収入</a:t>
          </a:r>
        </a:p>
      </xdr:txBody>
    </xdr:sp>
    <xdr:clientData/>
  </xdr:twoCellAnchor>
  <xdr:twoCellAnchor>
    <xdr:from>
      <xdr:col>5</xdr:col>
      <xdr:colOff>247650</xdr:colOff>
      <xdr:row>8</xdr:row>
      <xdr:rowOff>38100</xdr:rowOff>
    </xdr:from>
    <xdr:to>
      <xdr:col>7</xdr:col>
      <xdr:colOff>133350</xdr:colOff>
      <xdr:row>10</xdr:row>
      <xdr:rowOff>57150</xdr:rowOff>
    </xdr:to>
    <xdr:sp macro="" textlink="">
      <xdr:nvSpPr>
        <xdr:cNvPr id="7" name="角丸四角形吹き出し 6"/>
        <xdr:cNvSpPr/>
      </xdr:nvSpPr>
      <xdr:spPr>
        <a:xfrm>
          <a:off x="3676650" y="1676400"/>
          <a:ext cx="1257300" cy="361950"/>
        </a:xfrm>
        <a:prstGeom prst="wedgeRoundRectCallout">
          <a:avLst>
            <a:gd name="adj1" fmla="val -47348"/>
            <a:gd name="adj2" fmla="val 107136"/>
            <a:gd name="adj3" fmla="val 16667"/>
          </a:avLst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給与所得</a:t>
          </a:r>
        </a:p>
      </xdr:txBody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10</xdr:col>
      <xdr:colOff>342900</xdr:colOff>
      <xdr:row>49</xdr:row>
      <xdr:rowOff>37112</xdr:rowOff>
    </xdr:to>
    <xdr:pic>
      <xdr:nvPicPr>
        <xdr:cNvPr id="8" name="図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19650"/>
          <a:ext cx="7200900" cy="3980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26</xdr:row>
      <xdr:rowOff>142875</xdr:rowOff>
    </xdr:from>
    <xdr:to>
      <xdr:col>1</xdr:col>
      <xdr:colOff>419100</xdr:colOff>
      <xdr:row>28</xdr:row>
      <xdr:rowOff>47625</xdr:rowOff>
    </xdr:to>
    <xdr:sp macro="" textlink="">
      <xdr:nvSpPr>
        <xdr:cNvPr id="9" name="角丸四角形 8"/>
        <xdr:cNvSpPr/>
      </xdr:nvSpPr>
      <xdr:spPr>
        <a:xfrm>
          <a:off x="762000" y="4962525"/>
          <a:ext cx="342900" cy="247650"/>
        </a:xfrm>
        <a:prstGeom prst="round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571500</xdr:colOff>
      <xdr:row>35</xdr:row>
      <xdr:rowOff>95250</xdr:rowOff>
    </xdr:from>
    <xdr:to>
      <xdr:col>10</xdr:col>
      <xdr:colOff>76200</xdr:colOff>
      <xdr:row>43</xdr:row>
      <xdr:rowOff>19050</xdr:rowOff>
    </xdr:to>
    <xdr:sp macro="" textlink="">
      <xdr:nvSpPr>
        <xdr:cNvPr id="10" name="角丸四角形 9"/>
        <xdr:cNvSpPr/>
      </xdr:nvSpPr>
      <xdr:spPr>
        <a:xfrm>
          <a:off x="2628900" y="6457950"/>
          <a:ext cx="4305300" cy="1295400"/>
        </a:xfrm>
        <a:prstGeom prst="roundRect">
          <a:avLst/>
        </a:prstGeom>
        <a:solidFill>
          <a:schemeClr val="accent2">
            <a:alpha val="5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657225</xdr:colOff>
      <xdr:row>31</xdr:row>
      <xdr:rowOff>104775</xdr:rowOff>
    </xdr:from>
    <xdr:to>
      <xdr:col>7</xdr:col>
      <xdr:colOff>457200</xdr:colOff>
      <xdr:row>33</xdr:row>
      <xdr:rowOff>123825</xdr:rowOff>
    </xdr:to>
    <xdr:sp macro="" textlink="">
      <xdr:nvSpPr>
        <xdr:cNvPr id="11" name="角丸四角形吹き出し 10"/>
        <xdr:cNvSpPr/>
      </xdr:nvSpPr>
      <xdr:spPr>
        <a:xfrm>
          <a:off x="2714625" y="5781675"/>
          <a:ext cx="2543175" cy="361950"/>
        </a:xfrm>
        <a:prstGeom prst="wedgeRoundRectCallout">
          <a:avLst>
            <a:gd name="adj1" fmla="val 47741"/>
            <a:gd name="adj2" fmla="val 117662"/>
            <a:gd name="adj3" fmla="val 16667"/>
          </a:avLst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年金収入（各々の合計額）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268942</xdr:colOff>
      <xdr:row>47</xdr:row>
      <xdr:rowOff>0</xdr:rowOff>
    </xdr:to>
    <xdr:pic>
      <xdr:nvPicPr>
        <xdr:cNvPr id="11" name="図 1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20"/>
        <a:stretch/>
      </xdr:blipFill>
      <xdr:spPr bwMode="auto">
        <a:xfrm>
          <a:off x="0" y="268941"/>
          <a:ext cx="6420971" cy="7732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457200</xdr:colOff>
      <xdr:row>40</xdr:row>
      <xdr:rowOff>0</xdr:rowOff>
    </xdr:from>
    <xdr:to>
      <xdr:col>5</xdr:col>
      <xdr:colOff>448235</xdr:colOff>
      <xdr:row>41</xdr:row>
      <xdr:rowOff>101600</xdr:rowOff>
    </xdr:to>
    <xdr:sp macro="" textlink="">
      <xdr:nvSpPr>
        <xdr:cNvPr id="4" name="角丸四角形 3"/>
        <xdr:cNvSpPr/>
      </xdr:nvSpPr>
      <xdr:spPr>
        <a:xfrm>
          <a:off x="1824318" y="6824382"/>
          <a:ext cx="2041711" cy="269689"/>
        </a:xfrm>
        <a:prstGeom prst="roundRect">
          <a:avLst/>
        </a:prstGeom>
        <a:solidFill>
          <a:schemeClr val="accent3">
            <a:alpha val="50000"/>
          </a:schemeClr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55149</xdr:colOff>
      <xdr:row>18</xdr:row>
      <xdr:rowOff>91249</xdr:rowOff>
    </xdr:from>
    <xdr:to>
      <xdr:col>7</xdr:col>
      <xdr:colOff>621206</xdr:colOff>
      <xdr:row>20</xdr:row>
      <xdr:rowOff>110300</xdr:rowOff>
    </xdr:to>
    <xdr:sp macro="" textlink="">
      <xdr:nvSpPr>
        <xdr:cNvPr id="5" name="角丸四角形吹き出し 4"/>
        <xdr:cNvSpPr/>
      </xdr:nvSpPr>
      <xdr:spPr>
        <a:xfrm>
          <a:off x="4156502" y="3217690"/>
          <a:ext cx="1249616" cy="355228"/>
        </a:xfrm>
        <a:prstGeom prst="wedgeRoundRectCallout">
          <a:avLst>
            <a:gd name="adj1" fmla="val -56952"/>
            <a:gd name="adj2" fmla="val 123971"/>
            <a:gd name="adj3" fmla="val 16667"/>
          </a:avLst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給与収入</a:t>
          </a:r>
        </a:p>
      </xdr:txBody>
    </xdr:sp>
    <xdr:clientData/>
  </xdr:twoCellAnchor>
  <xdr:twoCellAnchor>
    <xdr:from>
      <xdr:col>5</xdr:col>
      <xdr:colOff>546688</xdr:colOff>
      <xdr:row>37</xdr:row>
      <xdr:rowOff>38821</xdr:rowOff>
    </xdr:from>
    <xdr:to>
      <xdr:col>7</xdr:col>
      <xdr:colOff>432387</xdr:colOff>
      <xdr:row>39</xdr:row>
      <xdr:rowOff>57872</xdr:rowOff>
    </xdr:to>
    <xdr:sp macro="" textlink="">
      <xdr:nvSpPr>
        <xdr:cNvPr id="6" name="角丸四角形吹き出し 5"/>
        <xdr:cNvSpPr/>
      </xdr:nvSpPr>
      <xdr:spPr>
        <a:xfrm>
          <a:off x="3964482" y="6358939"/>
          <a:ext cx="1252817" cy="355227"/>
        </a:xfrm>
        <a:prstGeom prst="wedgeRoundRectCallout">
          <a:avLst>
            <a:gd name="adj1" fmla="val -55682"/>
            <a:gd name="adj2" fmla="val 136083"/>
            <a:gd name="adj3" fmla="val 16667"/>
          </a:avLst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給与所得</a:t>
          </a:r>
        </a:p>
      </xdr:txBody>
    </xdr:sp>
    <xdr:clientData/>
  </xdr:twoCellAnchor>
  <xdr:twoCellAnchor>
    <xdr:from>
      <xdr:col>2</xdr:col>
      <xdr:colOff>605117</xdr:colOff>
      <xdr:row>22</xdr:row>
      <xdr:rowOff>68438</xdr:rowOff>
    </xdr:from>
    <xdr:to>
      <xdr:col>5</xdr:col>
      <xdr:colOff>608640</xdr:colOff>
      <xdr:row>23</xdr:row>
      <xdr:rowOff>123265</xdr:rowOff>
    </xdr:to>
    <xdr:sp macro="" textlink="">
      <xdr:nvSpPr>
        <xdr:cNvPr id="7" name="角丸四角形 6"/>
        <xdr:cNvSpPr/>
      </xdr:nvSpPr>
      <xdr:spPr>
        <a:xfrm>
          <a:off x="1972235" y="3867232"/>
          <a:ext cx="2054199" cy="222915"/>
        </a:xfrm>
        <a:prstGeom prst="roundRect">
          <a:avLst/>
        </a:prstGeom>
        <a:solidFill>
          <a:schemeClr val="accent2">
            <a:alpha val="5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284549</xdr:colOff>
      <xdr:row>22</xdr:row>
      <xdr:rowOff>89646</xdr:rowOff>
    </xdr:from>
    <xdr:to>
      <xdr:col>8</xdr:col>
      <xdr:colOff>170248</xdr:colOff>
      <xdr:row>24</xdr:row>
      <xdr:rowOff>22410</xdr:rowOff>
    </xdr:to>
    <xdr:sp macro="" textlink="">
      <xdr:nvSpPr>
        <xdr:cNvPr id="8" name="角丸四角形吹き出し 7"/>
        <xdr:cNvSpPr/>
      </xdr:nvSpPr>
      <xdr:spPr>
        <a:xfrm>
          <a:off x="4385902" y="3888440"/>
          <a:ext cx="1252817" cy="268941"/>
        </a:xfrm>
        <a:prstGeom prst="wedgeRoundRectCallout">
          <a:avLst>
            <a:gd name="adj1" fmla="val -72813"/>
            <a:gd name="adj2" fmla="val 111816"/>
            <a:gd name="adj3" fmla="val 16667"/>
          </a:avLst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年金収入</a:t>
          </a:r>
        </a:p>
      </xdr:txBody>
    </xdr:sp>
    <xdr:clientData/>
  </xdr:twoCellAnchor>
  <xdr:twoCellAnchor>
    <xdr:from>
      <xdr:col>2</xdr:col>
      <xdr:colOff>457201</xdr:colOff>
      <xdr:row>44</xdr:row>
      <xdr:rowOff>143782</xdr:rowOff>
    </xdr:from>
    <xdr:to>
      <xdr:col>5</xdr:col>
      <xdr:colOff>443595</xdr:colOff>
      <xdr:row>46</xdr:row>
      <xdr:rowOff>50800</xdr:rowOff>
    </xdr:to>
    <xdr:sp macro="" textlink="">
      <xdr:nvSpPr>
        <xdr:cNvPr id="9" name="角丸四角形 8"/>
        <xdr:cNvSpPr/>
      </xdr:nvSpPr>
      <xdr:spPr>
        <a:xfrm>
          <a:off x="1828801" y="8055882"/>
          <a:ext cx="2043794" cy="262618"/>
        </a:xfrm>
        <a:prstGeom prst="roundRect">
          <a:avLst/>
        </a:prstGeom>
        <a:solidFill>
          <a:schemeClr val="accent4">
            <a:lumMod val="60000"/>
            <a:lumOff val="40000"/>
            <a:alpha val="75000"/>
          </a:schemeClr>
        </a:solidFill>
        <a:ln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576197</xdr:colOff>
      <xdr:row>42</xdr:row>
      <xdr:rowOff>32471</xdr:rowOff>
    </xdr:from>
    <xdr:to>
      <xdr:col>7</xdr:col>
      <xdr:colOff>659681</xdr:colOff>
      <xdr:row>44</xdr:row>
      <xdr:rowOff>51521</xdr:rowOff>
    </xdr:to>
    <xdr:sp macro="" textlink="">
      <xdr:nvSpPr>
        <xdr:cNvPr id="10" name="角丸四角形吹き出し 9"/>
        <xdr:cNvSpPr/>
      </xdr:nvSpPr>
      <xdr:spPr>
        <a:xfrm>
          <a:off x="3993991" y="7193030"/>
          <a:ext cx="1450602" cy="355226"/>
        </a:xfrm>
        <a:prstGeom prst="wedgeRoundRectCallout">
          <a:avLst>
            <a:gd name="adj1" fmla="val -55682"/>
            <a:gd name="adj2" fmla="val 136083"/>
            <a:gd name="adj3" fmla="val 16667"/>
          </a:avLst>
        </a:prstGeom>
        <a:ln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総所得金額</a:t>
          </a:r>
        </a:p>
      </xdr:txBody>
    </xdr:sp>
    <xdr:clientData/>
  </xdr:twoCellAnchor>
  <xdr:twoCellAnchor>
    <xdr:from>
      <xdr:col>2</xdr:col>
      <xdr:colOff>593912</xdr:colOff>
      <xdr:row>24</xdr:row>
      <xdr:rowOff>12408</xdr:rowOff>
    </xdr:from>
    <xdr:to>
      <xdr:col>5</xdr:col>
      <xdr:colOff>597435</xdr:colOff>
      <xdr:row>25</xdr:row>
      <xdr:rowOff>67235</xdr:rowOff>
    </xdr:to>
    <xdr:sp macro="" textlink="">
      <xdr:nvSpPr>
        <xdr:cNvPr id="12" name="角丸四角形 11"/>
        <xdr:cNvSpPr/>
      </xdr:nvSpPr>
      <xdr:spPr>
        <a:xfrm>
          <a:off x="1961030" y="4147379"/>
          <a:ext cx="2054199" cy="222915"/>
        </a:xfrm>
        <a:prstGeom prst="roundRect">
          <a:avLst/>
        </a:prstGeom>
        <a:solidFill>
          <a:schemeClr val="accent2">
            <a:alpha val="5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5" tint="0.39997558519241921"/>
  </sheetPr>
  <dimension ref="B1:EF56"/>
  <sheetViews>
    <sheetView showGridLines="0" tabSelected="1" view="pageBreakPreview" zoomScale="55" zoomScaleNormal="100" zoomScaleSheetLayoutView="80" workbookViewId="0">
      <selection activeCell="C7" sqref="C7:G8"/>
    </sheetView>
  </sheetViews>
  <sheetFormatPr defaultColWidth="3.6328125" defaultRowHeight="13" x14ac:dyDescent="0.2"/>
  <cols>
    <col min="1" max="1" width="1.90625" style="1" customWidth="1"/>
    <col min="2" max="2" width="6.08984375" style="1" customWidth="1"/>
    <col min="3" max="5" width="3.453125" style="1" customWidth="1"/>
    <col min="6" max="6" width="4.36328125" style="1" customWidth="1"/>
    <col min="7" max="9" width="3.453125" style="1" customWidth="1"/>
    <col min="10" max="10" width="4.36328125" style="1" customWidth="1"/>
    <col min="11" max="13" width="3.453125" style="1" customWidth="1"/>
    <col min="14" max="15" width="4.36328125" style="1" customWidth="1"/>
    <col min="16" max="19" width="3.6328125" style="1" customWidth="1"/>
    <col min="20" max="22" width="3.453125" style="1" customWidth="1"/>
    <col min="23" max="23" width="4.36328125" style="1" customWidth="1"/>
    <col min="24" max="26" width="3.453125" style="1" customWidth="1"/>
    <col min="27" max="27" width="4.36328125" style="1" customWidth="1"/>
    <col min="28" max="30" width="3.453125" style="1" customWidth="1"/>
    <col min="31" max="32" width="4.36328125" style="1" customWidth="1"/>
    <col min="33" max="33" width="12.36328125" style="1" customWidth="1"/>
    <col min="34" max="34" width="20.08984375" style="1" customWidth="1"/>
    <col min="35" max="40" width="5.6328125" style="1" customWidth="1"/>
    <col min="41" max="54" width="4.36328125" style="1" customWidth="1"/>
    <col min="55" max="55" width="6.08984375" style="1" customWidth="1"/>
    <col min="56" max="56" width="6" style="1" customWidth="1"/>
    <col min="57" max="58" width="1.90625" style="1" customWidth="1"/>
    <col min="59" max="94" width="3.6328125" style="1"/>
    <col min="95" max="119" width="4.36328125" style="1" customWidth="1"/>
    <col min="120" max="120" width="3.6328125" style="1"/>
    <col min="121" max="122" width="4.36328125" style="1" customWidth="1"/>
    <col min="123" max="123" width="3.6328125" style="1"/>
    <col min="124" max="124" width="5" style="1" bestFit="1" customWidth="1"/>
    <col min="125" max="127" width="12.453125" style="1" customWidth="1"/>
    <col min="128" max="128" width="3.6328125" style="1" bestFit="1" customWidth="1"/>
    <col min="129" max="129" width="17.08984375" style="1" customWidth="1"/>
    <col min="130" max="131" width="15.90625" style="1" customWidth="1"/>
    <col min="132" max="132" width="3.6328125" style="1" customWidth="1"/>
    <col min="133" max="134" width="3.6328125" style="1"/>
    <col min="135" max="135" width="8.453125" style="1" bestFit="1" customWidth="1"/>
    <col min="136" max="136" width="15" style="1" customWidth="1"/>
    <col min="137" max="16384" width="3.6328125" style="1"/>
  </cols>
  <sheetData>
    <row r="1" spans="2:136" ht="14" x14ac:dyDescent="0.2">
      <c r="AY1" s="373" t="s">
        <v>139</v>
      </c>
      <c r="AZ1" s="374"/>
      <c r="BA1" s="374"/>
      <c r="BB1" s="374"/>
      <c r="BC1" s="374"/>
      <c r="BD1" s="374"/>
    </row>
    <row r="2" spans="2:136" ht="48.75" customHeight="1" x14ac:dyDescent="0.2">
      <c r="B2" s="379" t="s">
        <v>205</v>
      </c>
      <c r="C2" s="379"/>
      <c r="D2" s="379"/>
      <c r="E2" s="379"/>
      <c r="F2" s="379"/>
      <c r="G2" s="379"/>
      <c r="H2" s="88" t="s">
        <v>34</v>
      </c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378">
        <f ca="1">TODAY()</f>
        <v>46106</v>
      </c>
      <c r="AY2" s="378"/>
      <c r="AZ2" s="378"/>
      <c r="BA2" s="378"/>
      <c r="BB2" s="378"/>
      <c r="BC2" s="378"/>
      <c r="BD2" s="378"/>
      <c r="BE2" s="88"/>
    </row>
    <row r="3" spans="2:136" ht="57" customHeight="1" thickBot="1" x14ac:dyDescent="0.25">
      <c r="B3" s="377" t="s">
        <v>140</v>
      </c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  <c r="R3" s="377"/>
      <c r="S3" s="377"/>
      <c r="T3" s="377"/>
      <c r="U3" s="377"/>
      <c r="V3" s="377"/>
      <c r="W3" s="377"/>
      <c r="X3" s="377"/>
      <c r="Y3" s="377"/>
      <c r="Z3" s="377"/>
      <c r="AA3" s="377"/>
      <c r="AB3" s="377"/>
      <c r="AC3" s="377"/>
      <c r="AD3" s="377"/>
      <c r="AE3" s="377"/>
      <c r="AF3" s="377"/>
      <c r="AG3" s="377"/>
      <c r="AH3" s="377"/>
      <c r="AI3" s="377"/>
      <c r="AJ3" s="377"/>
      <c r="AK3" s="377"/>
      <c r="AL3" s="377"/>
      <c r="AM3" s="377"/>
      <c r="AN3" s="377"/>
      <c r="AO3" s="377"/>
      <c r="AP3" s="377"/>
      <c r="AQ3" s="377"/>
      <c r="AR3" s="377"/>
      <c r="AS3" s="377"/>
      <c r="AT3" s="377"/>
      <c r="AU3" s="377"/>
      <c r="AV3" s="377"/>
      <c r="AW3" s="377"/>
      <c r="AX3" s="377"/>
      <c r="AY3" s="377"/>
      <c r="AZ3" s="377"/>
      <c r="BA3" s="377"/>
      <c r="BB3" s="377"/>
      <c r="BC3" s="377"/>
      <c r="BD3" s="377"/>
    </row>
    <row r="4" spans="2:136" ht="22.5" customHeight="1" x14ac:dyDescent="0.2">
      <c r="B4" s="6"/>
      <c r="C4" s="218" t="s">
        <v>0</v>
      </c>
      <c r="D4" s="218"/>
      <c r="E4" s="218"/>
      <c r="F4" s="218"/>
      <c r="G4" s="218"/>
      <c r="H4" s="75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8"/>
      <c r="BG4" s="127" t="s">
        <v>37</v>
      </c>
      <c r="BH4" s="257" t="str">
        <f>B2</f>
        <v>令和８年度</v>
      </c>
      <c r="BI4" s="257"/>
      <c r="BJ4" s="257"/>
      <c r="BK4" s="257"/>
      <c r="BL4" s="128" t="s">
        <v>38</v>
      </c>
      <c r="BM4" s="128"/>
    </row>
    <row r="5" spans="2:136" ht="22.5" customHeight="1" thickBot="1" x14ac:dyDescent="0.25">
      <c r="B5" s="9"/>
      <c r="C5" s="219"/>
      <c r="D5" s="219"/>
      <c r="E5" s="219"/>
      <c r="F5" s="219"/>
      <c r="G5" s="219"/>
      <c r="H5" s="76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6" t="s">
        <v>116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1"/>
      <c r="BG5" s="124"/>
      <c r="BH5" s="123" t="s">
        <v>39</v>
      </c>
      <c r="BI5" s="124" t="s">
        <v>40</v>
      </c>
      <c r="BJ5" s="124"/>
    </row>
    <row r="6" spans="2:136" ht="22.5" customHeight="1" x14ac:dyDescent="0.2">
      <c r="B6" s="9"/>
      <c r="C6" s="226" t="s">
        <v>84</v>
      </c>
      <c r="D6" s="227"/>
      <c r="E6" s="227"/>
      <c r="F6" s="227"/>
      <c r="G6" s="228"/>
      <c r="H6" s="105" t="s">
        <v>124</v>
      </c>
      <c r="I6" s="106" t="s">
        <v>125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226" t="s">
        <v>137</v>
      </c>
      <c r="Y6" s="227"/>
      <c r="Z6" s="227"/>
      <c r="AA6" s="227"/>
      <c r="AB6" s="228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7" t="s">
        <v>117</v>
      </c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1"/>
      <c r="BG6" s="124"/>
      <c r="BH6" s="123" t="s">
        <v>39</v>
      </c>
      <c r="BI6" s="124" t="s">
        <v>41</v>
      </c>
      <c r="BJ6" s="124"/>
    </row>
    <row r="7" spans="2:136" ht="22.5" customHeight="1" x14ac:dyDescent="0.2">
      <c r="B7" s="380"/>
      <c r="C7" s="229"/>
      <c r="D7" s="230"/>
      <c r="E7" s="230"/>
      <c r="F7" s="230"/>
      <c r="G7" s="231"/>
      <c r="H7" s="235" t="str">
        <f>IF(C7="","",IF(C7&lt;&gt;"国保","←",""))</f>
        <v/>
      </c>
      <c r="I7" s="245" t="str">
        <f>IF(C7="","",IF(C7&lt;&gt;"国保","世帯主は擬制世帯主です",""))</f>
        <v/>
      </c>
      <c r="J7" s="245"/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245"/>
      <c r="V7" s="245"/>
      <c r="W7" s="246"/>
      <c r="X7" s="220"/>
      <c r="Y7" s="221"/>
      <c r="Z7" s="221"/>
      <c r="AA7" s="221"/>
      <c r="AB7" s="222"/>
      <c r="AC7" s="376" t="str">
        <f>IF(C7="","","←")</f>
        <v/>
      </c>
      <c r="AD7" s="249" t="str">
        <f>IF(C7="","",IF(C7="国保","数字を入力してください","世帯人数は、世帯主を含めた人数を入力してください"))</f>
        <v/>
      </c>
      <c r="AE7" s="249"/>
      <c r="AF7" s="249"/>
      <c r="AG7" s="249"/>
      <c r="AH7" s="249"/>
      <c r="AI7" s="249"/>
      <c r="AJ7" s="249"/>
      <c r="AK7" s="80"/>
      <c r="AL7" s="80"/>
      <c r="AM7" s="107" t="s">
        <v>118</v>
      </c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10"/>
      <c r="AZ7" s="10"/>
      <c r="BA7" s="10"/>
      <c r="BB7" s="10"/>
      <c r="BC7" s="10"/>
      <c r="BD7" s="11"/>
      <c r="BG7" s="124"/>
      <c r="BH7" s="123"/>
      <c r="BI7" s="124" t="s">
        <v>42</v>
      </c>
      <c r="BJ7" s="124"/>
    </row>
    <row r="8" spans="2:136" ht="22.5" customHeight="1" thickBot="1" x14ac:dyDescent="0.25">
      <c r="B8" s="380"/>
      <c r="C8" s="232"/>
      <c r="D8" s="233"/>
      <c r="E8" s="233"/>
      <c r="F8" s="233"/>
      <c r="G8" s="234"/>
      <c r="H8" s="235"/>
      <c r="I8" s="245"/>
      <c r="J8" s="245"/>
      <c r="K8" s="245"/>
      <c r="L8" s="245"/>
      <c r="M8" s="245"/>
      <c r="N8" s="245"/>
      <c r="O8" s="245"/>
      <c r="P8" s="245"/>
      <c r="Q8" s="245"/>
      <c r="R8" s="245"/>
      <c r="S8" s="245"/>
      <c r="T8" s="245"/>
      <c r="U8" s="245"/>
      <c r="V8" s="245"/>
      <c r="W8" s="246"/>
      <c r="X8" s="223"/>
      <c r="Y8" s="224"/>
      <c r="Z8" s="224"/>
      <c r="AA8" s="224"/>
      <c r="AB8" s="225"/>
      <c r="AC8" s="376"/>
      <c r="AD8" s="249"/>
      <c r="AE8" s="249"/>
      <c r="AF8" s="249"/>
      <c r="AG8" s="249"/>
      <c r="AH8" s="249"/>
      <c r="AI8" s="249"/>
      <c r="AJ8" s="249"/>
      <c r="AK8" s="81"/>
      <c r="AL8" s="81"/>
      <c r="AM8" s="107" t="s">
        <v>119</v>
      </c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10"/>
      <c r="AZ8" s="10"/>
      <c r="BA8" s="10"/>
      <c r="BB8" s="10"/>
      <c r="BC8" s="10"/>
      <c r="BD8" s="11"/>
      <c r="BG8" s="124"/>
      <c r="BH8" s="123" t="s">
        <v>39</v>
      </c>
      <c r="BI8" s="124" t="s">
        <v>43</v>
      </c>
      <c r="BJ8" s="124"/>
      <c r="CQ8" s="356"/>
      <c r="CR8" s="356"/>
      <c r="CS8" s="356"/>
      <c r="CT8" s="356"/>
    </row>
    <row r="9" spans="2:136" ht="22.5" customHeight="1" thickBot="1" x14ac:dyDescent="0.25">
      <c r="B9" s="9"/>
      <c r="C9" s="108" t="s">
        <v>136</v>
      </c>
      <c r="D9" s="30"/>
      <c r="E9" s="30"/>
      <c r="F9" s="3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13"/>
      <c r="U9" s="10"/>
      <c r="V9" s="10"/>
      <c r="W9" s="10"/>
      <c r="X9" s="10"/>
      <c r="Y9" s="10"/>
      <c r="Z9" s="10"/>
      <c r="AA9" s="10"/>
      <c r="AB9" s="30"/>
      <c r="AC9" s="30"/>
      <c r="AD9" s="30"/>
      <c r="AE9" s="30"/>
      <c r="AF9" s="30"/>
      <c r="AG9" s="30"/>
      <c r="AH9" s="39"/>
      <c r="AI9" s="39"/>
      <c r="AJ9" s="39"/>
      <c r="AK9" s="39"/>
      <c r="AL9" s="39"/>
      <c r="AM9" s="107" t="s">
        <v>120</v>
      </c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1"/>
      <c r="BI9" s="264"/>
      <c r="BJ9" s="265"/>
      <c r="BK9" s="265"/>
      <c r="BL9" s="202" t="s">
        <v>44</v>
      </c>
      <c r="BM9" s="203"/>
      <c r="BN9" s="203"/>
      <c r="BO9" s="202" t="s">
        <v>45</v>
      </c>
      <c r="BP9" s="204"/>
      <c r="BQ9" s="204"/>
      <c r="BR9" s="206" t="s">
        <v>46</v>
      </c>
      <c r="BS9" s="207"/>
      <c r="BT9" s="208"/>
      <c r="BU9" s="308" t="s">
        <v>209</v>
      </c>
      <c r="BV9" s="309"/>
      <c r="BW9" s="310"/>
      <c r="BX9" s="301" t="s">
        <v>47</v>
      </c>
      <c r="BY9" s="271"/>
      <c r="BZ9" s="271"/>
      <c r="CA9" s="271"/>
      <c r="CB9" s="271"/>
      <c r="CC9" s="271"/>
      <c r="CD9" s="271"/>
      <c r="CE9" s="271"/>
      <c r="CF9" s="271"/>
      <c r="CG9" s="271"/>
      <c r="CH9" s="271"/>
      <c r="CI9" s="271"/>
      <c r="CJ9" s="271"/>
      <c r="DT9" s="375">
        <f>年金計算!J2</f>
        <v>46023</v>
      </c>
      <c r="DU9" s="375"/>
      <c r="DV9" s="375"/>
      <c r="DW9" s="176"/>
      <c r="DX9" s="176"/>
      <c r="DZ9" s="176"/>
      <c r="EA9" s="176"/>
      <c r="EB9" s="117"/>
    </row>
    <row r="10" spans="2:136" ht="22.5" customHeight="1" thickBot="1" x14ac:dyDescent="0.25">
      <c r="B10" s="9"/>
      <c r="C10" s="238" t="s">
        <v>87</v>
      </c>
      <c r="D10" s="239"/>
      <c r="E10" s="239"/>
      <c r="F10" s="240"/>
      <c r="G10" s="238" t="s">
        <v>12</v>
      </c>
      <c r="H10" s="239"/>
      <c r="I10" s="239"/>
      <c r="J10" s="239"/>
      <c r="K10" s="297" t="s">
        <v>82</v>
      </c>
      <c r="L10" s="239"/>
      <c r="M10" s="239"/>
      <c r="N10" s="298"/>
      <c r="O10" s="120" t="s">
        <v>128</v>
      </c>
      <c r="P10" s="238" t="s">
        <v>177</v>
      </c>
      <c r="Q10" s="239"/>
      <c r="R10" s="239"/>
      <c r="S10" s="239"/>
      <c r="T10" s="297" t="s">
        <v>81</v>
      </c>
      <c r="U10" s="239"/>
      <c r="V10" s="239"/>
      <c r="W10" s="240"/>
      <c r="X10" s="238" t="s">
        <v>13</v>
      </c>
      <c r="Y10" s="239"/>
      <c r="Z10" s="239"/>
      <c r="AA10" s="240"/>
      <c r="AB10" s="238" t="s">
        <v>14</v>
      </c>
      <c r="AC10" s="239"/>
      <c r="AD10" s="239"/>
      <c r="AE10" s="240"/>
      <c r="AF10" s="362" t="s">
        <v>35</v>
      </c>
      <c r="AG10" s="362"/>
      <c r="AH10" s="185">
        <f>日付!B15</f>
        <v>46478</v>
      </c>
      <c r="AI10" s="367" t="s">
        <v>179</v>
      </c>
      <c r="AJ10" s="365"/>
      <c r="AK10" s="366"/>
      <c r="AL10" s="364" t="s">
        <v>180</v>
      </c>
      <c r="AM10" s="365"/>
      <c r="AN10" s="366"/>
      <c r="AO10" s="86" t="s">
        <v>88</v>
      </c>
      <c r="AP10" s="86" t="s">
        <v>89</v>
      </c>
      <c r="AQ10" s="86" t="s">
        <v>90</v>
      </c>
      <c r="AR10" s="86" t="s">
        <v>91</v>
      </c>
      <c r="AS10" s="86" t="s">
        <v>92</v>
      </c>
      <c r="AT10" s="86" t="s">
        <v>93</v>
      </c>
      <c r="AU10" s="86" t="s">
        <v>94</v>
      </c>
      <c r="AV10" s="86" t="s">
        <v>95</v>
      </c>
      <c r="AW10" s="86" t="s">
        <v>96</v>
      </c>
      <c r="AX10" s="86" t="s">
        <v>97</v>
      </c>
      <c r="AY10" s="86" t="s">
        <v>98</v>
      </c>
      <c r="AZ10" s="86" t="s">
        <v>99</v>
      </c>
      <c r="BA10" s="86" t="s">
        <v>115</v>
      </c>
      <c r="BB10" s="87" t="s">
        <v>114</v>
      </c>
      <c r="BC10" s="98"/>
      <c r="BD10" s="99"/>
      <c r="BE10" s="2"/>
      <c r="BI10" s="266"/>
      <c r="BJ10" s="267"/>
      <c r="BK10" s="267"/>
      <c r="BL10" s="195"/>
      <c r="BM10" s="195"/>
      <c r="BN10" s="195"/>
      <c r="BO10" s="205"/>
      <c r="BP10" s="205"/>
      <c r="BQ10" s="205"/>
      <c r="BR10" s="209"/>
      <c r="BS10" s="209"/>
      <c r="BT10" s="210"/>
      <c r="BU10" s="311"/>
      <c r="BV10" s="312"/>
      <c r="BW10" s="313"/>
      <c r="BX10" s="301"/>
      <c r="BY10" s="271"/>
      <c r="BZ10" s="271"/>
      <c r="CA10" s="271"/>
      <c r="CB10" s="271"/>
      <c r="CC10" s="271"/>
      <c r="CD10" s="271"/>
      <c r="CE10" s="271"/>
      <c r="CF10" s="271"/>
      <c r="CG10" s="271"/>
      <c r="CH10" s="271"/>
      <c r="CI10" s="271"/>
      <c r="CJ10" s="271"/>
      <c r="CQ10" s="83" t="s">
        <v>88</v>
      </c>
      <c r="CR10" s="83" t="s">
        <v>89</v>
      </c>
      <c r="CS10" s="83" t="s">
        <v>90</v>
      </c>
      <c r="CT10" s="83" t="s">
        <v>91</v>
      </c>
      <c r="CU10" s="83" t="s">
        <v>92</v>
      </c>
      <c r="CV10" s="83" t="s">
        <v>93</v>
      </c>
      <c r="CW10" s="83" t="s">
        <v>94</v>
      </c>
      <c r="CX10" s="83" t="s">
        <v>95</v>
      </c>
      <c r="CY10" s="83" t="s">
        <v>96</v>
      </c>
      <c r="CZ10" s="83" t="s">
        <v>97</v>
      </c>
      <c r="DA10" s="83" t="s">
        <v>98</v>
      </c>
      <c r="DB10" s="83" t="s">
        <v>99</v>
      </c>
      <c r="DD10" s="83" t="s">
        <v>88</v>
      </c>
      <c r="DE10" s="83" t="s">
        <v>89</v>
      </c>
      <c r="DF10" s="83" t="s">
        <v>90</v>
      </c>
      <c r="DG10" s="83" t="s">
        <v>91</v>
      </c>
      <c r="DH10" s="83" t="s">
        <v>92</v>
      </c>
      <c r="DI10" s="83" t="s">
        <v>93</v>
      </c>
      <c r="DJ10" s="83" t="s">
        <v>94</v>
      </c>
      <c r="DK10" s="83" t="s">
        <v>95</v>
      </c>
      <c r="DL10" s="83" t="s">
        <v>96</v>
      </c>
      <c r="DM10" s="83" t="s">
        <v>97</v>
      </c>
      <c r="DN10" s="83" t="s">
        <v>98</v>
      </c>
      <c r="DO10" s="83" t="s">
        <v>99</v>
      </c>
      <c r="DQ10" s="85"/>
      <c r="DR10" s="85"/>
      <c r="DT10" s="115" t="s">
        <v>131</v>
      </c>
      <c r="DU10" s="115" t="s">
        <v>132</v>
      </c>
      <c r="DV10" s="115" t="s">
        <v>133</v>
      </c>
      <c r="DW10" s="177"/>
      <c r="DX10" s="115"/>
      <c r="DY10" s="85" t="s">
        <v>214</v>
      </c>
      <c r="DZ10" s="180" t="s">
        <v>215</v>
      </c>
      <c r="EA10" s="179"/>
      <c r="EE10" s="1" t="s">
        <v>192</v>
      </c>
      <c r="EF10" s="1" t="s">
        <v>208</v>
      </c>
    </row>
    <row r="11" spans="2:136" ht="22.5" customHeight="1" x14ac:dyDescent="0.2">
      <c r="B11" s="49" t="str">
        <f>IF($X$7&gt;=1,"①","")</f>
        <v/>
      </c>
      <c r="C11" s="241"/>
      <c r="D11" s="242"/>
      <c r="E11" s="242"/>
      <c r="F11" s="16" t="str">
        <f>IF($X$7&gt;=1,"円","")</f>
        <v/>
      </c>
      <c r="G11" s="241"/>
      <c r="H11" s="242"/>
      <c r="I11" s="242"/>
      <c r="J11" s="118" t="str">
        <f>IF($X$7&gt;=1,"円","")</f>
        <v/>
      </c>
      <c r="K11" s="299" t="str">
        <f>IF(G11="","",給与計算!C11)</f>
        <v/>
      </c>
      <c r="L11" s="300"/>
      <c r="M11" s="300"/>
      <c r="N11" s="150" t="str">
        <f>IF($X$7&gt;=1,"円","")</f>
        <v/>
      </c>
      <c r="O11" s="121"/>
      <c r="P11" s="243"/>
      <c r="Q11" s="244"/>
      <c r="R11" s="244"/>
      <c r="S11" s="152" t="str">
        <f>IF($X$7&gt;=1,"円","")</f>
        <v/>
      </c>
      <c r="T11" s="300" t="str">
        <f>年金計算!G1</f>
        <v/>
      </c>
      <c r="U11" s="300"/>
      <c r="V11" s="300"/>
      <c r="W11" s="154" t="str">
        <f>IF($X$7&gt;=1,"円","")</f>
        <v/>
      </c>
      <c r="X11" s="241"/>
      <c r="Y11" s="242"/>
      <c r="Z11" s="242"/>
      <c r="AA11" s="16" t="str">
        <f>IF($X$7&gt;=1,"円","")</f>
        <v/>
      </c>
      <c r="AB11" s="328">
        <f t="shared" ref="AB11:AB20" si="0">IFERROR(IF(SUM(C11,K11,T11,X11)&lt;0,0,IF(O11="○",SUM(C11,K11*30/100,T11,X11),SUM(C11,K11,T11,X11)))-EE11,"")</f>
        <v>0</v>
      </c>
      <c r="AC11" s="300"/>
      <c r="AD11" s="300"/>
      <c r="AE11" s="16" t="str">
        <f>IF($X$7&gt;=1,"円","")</f>
        <v/>
      </c>
      <c r="AF11" s="357"/>
      <c r="AG11" s="358"/>
      <c r="AH11" s="172" t="str">
        <f>IF(AF11="","",DATEDIF(AF11,日付!$B$15,"Y"))</f>
        <v/>
      </c>
      <c r="AI11" s="368"/>
      <c r="AJ11" s="369"/>
      <c r="AK11" s="370"/>
      <c r="AL11" s="371"/>
      <c r="AM11" s="372"/>
      <c r="AN11" s="372"/>
      <c r="AO11" s="90" t="str">
        <f>IF($AL11&lt;日付!$B$2,"",IF($AI11&lt;日付!$B$2,IF(DD11&lt;&gt;"",DD11,IF($AI11&lt;日付!$B$2,"※","")),""))</f>
        <v/>
      </c>
      <c r="AP11" s="90" t="str">
        <f>IF($AL11&lt;日付!$B$3,"",IF($AI11&lt;日付!$B$3,IF(DE11&lt;&gt;"",DE11,IF($AI11&lt;日付!$B$3,"※","")),""))</f>
        <v/>
      </c>
      <c r="AQ11" s="90" t="str">
        <f>IF($AL11&lt;日付!$B$4,"",IF($AI11&lt;日付!$B$4,IF(DF11&lt;&gt;"",DF11,IF($AI11&lt;日付!$B$4,"※","")),""))</f>
        <v/>
      </c>
      <c r="AR11" s="90" t="str">
        <f>IF($AL11&lt;日付!$B$5,"",IF($AI11&lt;日付!$B$5,IF(DG11&lt;&gt;"",DG11,IF($AI11&lt;日付!$B$5,"※","")),""))</f>
        <v/>
      </c>
      <c r="AS11" s="90" t="str">
        <f>IF($AL11&lt;日付!$B$6,"",IF($AI11&lt;日付!$B$6,IF(DH11&lt;&gt;"",DH11,IF($AI11&lt;日付!$B$6,"※","")),""))</f>
        <v/>
      </c>
      <c r="AT11" s="90" t="str">
        <f>IF($AL11&lt;日付!$B$7,"",IF($AI11&lt;日付!$B$7,IF(DI11&lt;&gt;"",DI11,IF($AI11&lt;日付!$B$7,"※","")),""))</f>
        <v/>
      </c>
      <c r="AU11" s="90" t="str">
        <f>IF($AL11&lt;日付!$B$8,"",IF($AI11&lt;日付!$B$8,IF(DJ11&lt;&gt;"",DJ11,IF($AI11&lt;日付!$B$8,"※","")),""))</f>
        <v/>
      </c>
      <c r="AV11" s="90" t="str">
        <f>IF($AL11&lt;日付!$B$9,"",IF($AI11&lt;日付!$B$9,IF(DK11&lt;&gt;"",DK11,IF($AI11&lt;日付!$B$9,"※","")),""))</f>
        <v/>
      </c>
      <c r="AW11" s="90" t="str">
        <f>IF($AL11&lt;日付!$B$10,"",IF($AI11&lt;日付!$B$10,IF(DL11&lt;&gt;"",DL11,IF($AI11&lt;日付!$B$10,"※","")),""))</f>
        <v/>
      </c>
      <c r="AX11" s="90" t="str">
        <f>IF($AL11&lt;日付!$B$11,"",IF($AI11&lt;日付!$B$11,IF(DM11&lt;&gt;"",DM11,IF($AI11&lt;日付!$B$11,"※","")),""))</f>
        <v/>
      </c>
      <c r="AY11" s="90" t="str">
        <f>IF($AL11&lt;日付!$B$12,"",IF($AI11&lt;日付!$B$12,IF(DN11&lt;&gt;"",DN11,IF($AI11&lt;日付!$B$12,"※","")),""))</f>
        <v/>
      </c>
      <c r="AZ11" s="90" t="str">
        <f>IF($AL11&lt;日付!$B$13,"",IF($AI11&lt;日付!$B$13,IF(DO11&lt;&gt;"",DO11,IF($AI11&lt;日付!$B$13,"※","")),""))</f>
        <v/>
      </c>
      <c r="BA11" s="90" t="str">
        <f>IF(C7&lt;&gt;"国保","",IF(AI11="","",IF(COUNTIF(AO11:AZ11,"※")=0,DR11,COUNTIF(AO11:AZ11,"※")+DR11)))</f>
        <v/>
      </c>
      <c r="BB11" s="91" t="str">
        <f>IF(C7&lt;&gt;"国保","",IF(COUNTIF(AO11:AZ11,"介")=0,"",COUNTIF(AO11:AZ11,"介")))</f>
        <v/>
      </c>
      <c r="BC11" s="363" t="str">
        <f t="shared" ref="BC11:BC21" si="1">IF(DR11&gt;0,"【介護該当】",IF(EF11&lt;19,"【未成年該当】",""))</f>
        <v/>
      </c>
      <c r="BD11" s="261"/>
      <c r="BE11" s="131"/>
      <c r="BI11" s="268" t="s">
        <v>73</v>
      </c>
      <c r="BJ11" s="263"/>
      <c r="BK11" s="263"/>
      <c r="BL11" s="211">
        <v>6.5</v>
      </c>
      <c r="BM11" s="211"/>
      <c r="BN11" s="211"/>
      <c r="BO11" s="211">
        <v>2.5</v>
      </c>
      <c r="BP11" s="211"/>
      <c r="BQ11" s="211"/>
      <c r="BR11" s="211">
        <v>1.78</v>
      </c>
      <c r="BS11" s="211"/>
      <c r="BT11" s="212"/>
      <c r="BU11" s="302">
        <v>0.21</v>
      </c>
      <c r="BV11" s="303"/>
      <c r="BW11" s="304"/>
      <c r="BX11" s="274" t="s">
        <v>194</v>
      </c>
      <c r="BY11" s="275"/>
      <c r="BZ11" s="275"/>
      <c r="CA11" s="275"/>
      <c r="CB11" s="275"/>
      <c r="CC11" s="275"/>
      <c r="CD11" s="275"/>
      <c r="CE11" s="275"/>
      <c r="CF11" s="275"/>
      <c r="CG11" s="275"/>
      <c r="CH11" s="275"/>
      <c r="CI11" s="275"/>
      <c r="CJ11" s="275"/>
      <c r="CQ11" s="84">
        <f>DATEDIF($AF11,日付!$B$2,"Y")</f>
        <v>126</v>
      </c>
      <c r="CR11" s="84">
        <f>DATEDIF($AF11,日付!$B$3,"Y")</f>
        <v>126</v>
      </c>
      <c r="CS11" s="84">
        <f>DATEDIF($AF11,日付!$B$4,"Y")</f>
        <v>126</v>
      </c>
      <c r="CT11" s="84">
        <f>DATEDIF($AF11,日付!$B$5,"Y")</f>
        <v>126</v>
      </c>
      <c r="CU11" s="84">
        <f>DATEDIF($AF11,日付!$B$6,"Y")</f>
        <v>126</v>
      </c>
      <c r="CV11" s="84">
        <f>DATEDIF($AF11,日付!$B$7,"Y")</f>
        <v>126</v>
      </c>
      <c r="CW11" s="84">
        <f>DATEDIF($AF11,日付!$B$8,"Y")</f>
        <v>126</v>
      </c>
      <c r="CX11" s="84">
        <f>DATEDIF($AF11,日付!$B$9,"Y")</f>
        <v>126</v>
      </c>
      <c r="CY11" s="84">
        <f>DATEDIF($AF11,日付!$B$10,"Y")</f>
        <v>127</v>
      </c>
      <c r="CZ11" s="84">
        <f>DATEDIF($AF11,日付!$B$11,"Y")</f>
        <v>127</v>
      </c>
      <c r="DA11" s="84">
        <f>DATEDIF($AF11,日付!$B$12,"Y")</f>
        <v>127</v>
      </c>
      <c r="DB11" s="84">
        <f>DATEDIF($AF11,日付!$B$13,"Y")</f>
        <v>127</v>
      </c>
      <c r="DD11" s="84" t="str">
        <f>IF(CQ11&gt;64,"",IF(CQ11&gt;39,"介",""))</f>
        <v/>
      </c>
      <c r="DE11" s="84" t="str">
        <f t="shared" ref="DE11:DO11" si="2">IF(CR11&gt;64,"",IF(CR11&gt;39,"介",""))</f>
        <v/>
      </c>
      <c r="DF11" s="84" t="str">
        <f t="shared" si="2"/>
        <v/>
      </c>
      <c r="DG11" s="84" t="str">
        <f t="shared" si="2"/>
        <v/>
      </c>
      <c r="DH11" s="84" t="str">
        <f t="shared" si="2"/>
        <v/>
      </c>
      <c r="DI11" s="84" t="str">
        <f t="shared" si="2"/>
        <v/>
      </c>
      <c r="DJ11" s="84" t="str">
        <f t="shared" si="2"/>
        <v/>
      </c>
      <c r="DK11" s="84" t="str">
        <f t="shared" si="2"/>
        <v/>
      </c>
      <c r="DL11" s="84" t="str">
        <f t="shared" si="2"/>
        <v/>
      </c>
      <c r="DM11" s="84" t="str">
        <f t="shared" si="2"/>
        <v/>
      </c>
      <c r="DN11" s="84" t="str">
        <f t="shared" si="2"/>
        <v/>
      </c>
      <c r="DO11" s="84" t="str">
        <f t="shared" si="2"/>
        <v/>
      </c>
      <c r="DQ11" s="85">
        <f t="shared" ref="DQ11:DQ21" si="3">IF(BA11="",0,BA11)</f>
        <v>0</v>
      </c>
      <c r="DR11" s="85">
        <f t="shared" ref="DR11:DR21" si="4">IF(BB11="",0,BB11)</f>
        <v>0</v>
      </c>
      <c r="DT11" s="85">
        <f>IFERROR(DATEDIF(AF11,$DT$9,"Y"),0)</f>
        <v>126</v>
      </c>
      <c r="DU11" s="116" t="e">
        <f t="shared" ref="DU11:DU21" si="5">IF(DT11&gt;64,IF(T11&lt;150000,0,T11-150000),T11)</f>
        <v>#VALUE!</v>
      </c>
      <c r="DV11" s="116" t="str">
        <f t="shared" ref="DV11:DV21" si="6">IF(B11="","",IF((AB11-T11+DU11)&lt;0,0,(AB11-T11+DU11)))</f>
        <v/>
      </c>
      <c r="DW11" s="178"/>
      <c r="DX11" s="116">
        <v>1</v>
      </c>
      <c r="DY11" s="181">
        <f>IFERROR(IF(日付!C15&lt;IF(AI11="",0,AI11),IF(AI11="","",AI11),日付!C15),"")</f>
        <v>46113</v>
      </c>
      <c r="DZ11" s="184" t="str">
        <f>IF($DY$23&gt;=IF(AI11="",1000000,AI11),1,"")</f>
        <v/>
      </c>
      <c r="EA11" s="182"/>
      <c r="EB11" s="1">
        <f>IF(AND(G11&gt;650000,DZ11=1),1,0)</f>
        <v>0</v>
      </c>
      <c r="EC11" s="1">
        <f>IF(AND(P11&gt;600000,DT11&lt;65,OR(K11=0,K11="")),1,0)</f>
        <v>0</v>
      </c>
      <c r="ED11" s="1">
        <f t="shared" ref="ED11:ED20" si="7">IF(AND(P11&gt;1100000,DT11&gt;=65,OR(K11=0,K11="")),1,0)</f>
        <v>0</v>
      </c>
      <c r="EE11" s="167">
        <f t="shared" ref="EE11:EE20" si="8">IFERROR(IF(AND(K11&gt;0,T11&gt;0),IF((K11+T11)&gt;100000,IF(K11&gt;100000,100000,K11)+IF(T11&gt;100000,100000,T11)-100000,0),0),0)</f>
        <v>0</v>
      </c>
      <c r="EF11" s="1" t="str">
        <f>IF(AF11="","",DATEDIF(AF11,日付!$B$15,"Y"))</f>
        <v/>
      </c>
    </row>
    <row r="12" spans="2:136" ht="22.5" customHeight="1" x14ac:dyDescent="0.2">
      <c r="B12" s="49" t="str">
        <f>IF($X$7&gt;=2,"②","")</f>
        <v/>
      </c>
      <c r="C12" s="213"/>
      <c r="D12" s="214"/>
      <c r="E12" s="214"/>
      <c r="F12" s="17" t="str">
        <f>IF($X$7&gt;=2,"円","")</f>
        <v/>
      </c>
      <c r="G12" s="213"/>
      <c r="H12" s="214"/>
      <c r="I12" s="214"/>
      <c r="J12" s="119" t="str">
        <f>IF($X$7&gt;=2,"円","")</f>
        <v/>
      </c>
      <c r="K12" s="236" t="str">
        <f>IF(G12="","",給与計算!C22)</f>
        <v/>
      </c>
      <c r="L12" s="237"/>
      <c r="M12" s="237"/>
      <c r="N12" s="151" t="str">
        <f>IF($X$7&gt;=2,"円","")</f>
        <v/>
      </c>
      <c r="O12" s="122"/>
      <c r="P12" s="213"/>
      <c r="Q12" s="214"/>
      <c r="R12" s="214"/>
      <c r="S12" s="153" t="str">
        <f>IF($X$7&gt;=2,"円","")</f>
        <v/>
      </c>
      <c r="T12" s="237" t="str">
        <f>年金計算!G16</f>
        <v/>
      </c>
      <c r="U12" s="237"/>
      <c r="V12" s="237"/>
      <c r="W12" s="155" t="str">
        <f>IF($X$7&gt;=2,"円","")</f>
        <v/>
      </c>
      <c r="X12" s="213"/>
      <c r="Y12" s="214"/>
      <c r="Z12" s="214"/>
      <c r="AA12" s="17" t="str">
        <f>IF($X$7&gt;=2,"円","")</f>
        <v/>
      </c>
      <c r="AB12" s="258">
        <f t="shared" si="0"/>
        <v>0</v>
      </c>
      <c r="AC12" s="259"/>
      <c r="AD12" s="259"/>
      <c r="AE12" s="17" t="str">
        <f>IF($X$7&gt;=2,"円","")</f>
        <v/>
      </c>
      <c r="AF12" s="247"/>
      <c r="AG12" s="359"/>
      <c r="AH12" s="172" t="str">
        <f>IF(AF12="","",DATEDIF(AF12,日付!$B$15,"Y"))</f>
        <v/>
      </c>
      <c r="AI12" s="247"/>
      <c r="AJ12" s="216"/>
      <c r="AK12" s="248"/>
      <c r="AL12" s="215"/>
      <c r="AM12" s="216"/>
      <c r="AN12" s="217"/>
      <c r="AO12" s="92" t="str">
        <f>IF($AL12&lt;日付!$B$2,"",IF($AI12&lt;日付!$B$2,IF(DD12&lt;&gt;"",DD12,IF($AI12&lt;日付!$B$2,"※","")),""))</f>
        <v/>
      </c>
      <c r="AP12" s="92" t="str">
        <f>IF($AL12&lt;日付!$B$3,"",IF($AI12&lt;日付!$B$3,IF(DE12&lt;&gt;"",DE12,IF($AI12&lt;日付!$B$3,"※","")),""))</f>
        <v/>
      </c>
      <c r="AQ12" s="92" t="str">
        <f>IF($AL12&lt;日付!$B$4,"",IF($AI12&lt;日付!$B$4,IF(DF12&lt;&gt;"",DF12,IF($AI12&lt;日付!$B$4,"※","")),""))</f>
        <v/>
      </c>
      <c r="AR12" s="92" t="str">
        <f>IF($AL12&lt;日付!$B$5,"",IF($AI12&lt;日付!$B$5,IF(DG12&lt;&gt;"",DG12,IF($AI12&lt;日付!$B$5,"※","")),""))</f>
        <v/>
      </c>
      <c r="AS12" s="92" t="str">
        <f>IF($AL12&lt;日付!$B$6,"",IF($AI12&lt;日付!$B$6,IF(DH12&lt;&gt;"",DH12,IF($AI12&lt;日付!$B$6,"※","")),""))</f>
        <v/>
      </c>
      <c r="AT12" s="92" t="str">
        <f>IF($AL12&lt;日付!$B$7,"",IF($AI12&lt;日付!$B$7,IF(DI12&lt;&gt;"",DI12,IF($AI12&lt;日付!$B$7,"※","")),""))</f>
        <v/>
      </c>
      <c r="AU12" s="92" t="str">
        <f>IF($AL12&lt;日付!$B$8,"",IF($AI12&lt;日付!$B$8,IF(DJ12&lt;&gt;"",DJ12,IF($AI12&lt;日付!$B$8,"※","")),""))</f>
        <v/>
      </c>
      <c r="AV12" s="92" t="str">
        <f>IF($AL12&lt;日付!$B$9,"",IF($AI12&lt;日付!$B$9,IF(DK12&lt;&gt;"",DK12,IF($AI12&lt;日付!$B$9,"※","")),""))</f>
        <v/>
      </c>
      <c r="AW12" s="92" t="str">
        <f>IF($AL12&lt;日付!$B$10,"",IF($AI12&lt;日付!$B$10,IF(DL12&lt;&gt;"",DL12,IF($AI12&lt;日付!$B$10,"※","")),""))</f>
        <v/>
      </c>
      <c r="AX12" s="92" t="str">
        <f>IF($AL12&lt;日付!$B$11,"",IF($AI12&lt;日付!$B$11,IF(DM12&lt;&gt;"",DM12,IF($AI12&lt;日付!$B$11,"※","")),""))</f>
        <v/>
      </c>
      <c r="AY12" s="92" t="str">
        <f>IF($AL12&lt;日付!$B$12,"",IF($AI12&lt;日付!$B$12,IF(DN12&lt;&gt;"",DN12,IF($AI12&lt;日付!$B$12,"※","")),""))</f>
        <v/>
      </c>
      <c r="AZ12" s="92" t="str">
        <f>IF($AL12&lt;日付!$B$13,"",IF($AI12&lt;日付!$B$13,IF(DO12&lt;&gt;"",DO12,IF($AI12&lt;日付!$B$13,"※","")),""))</f>
        <v/>
      </c>
      <c r="BA12" s="92" t="str">
        <f t="shared" ref="BA12:BA21" si="9">IF(AI12="","",IF(COUNTIF(AO12:AZ12,"※")=0,DR12,COUNTIF(AO12:AZ12,"※")+DR12))</f>
        <v/>
      </c>
      <c r="BB12" s="93" t="str">
        <f t="shared" ref="BB12:BB21" si="10">IF(COUNTIF(AO12:AZ12,"介")=0,"",COUNTIF(AO12:AZ12,"介"))</f>
        <v/>
      </c>
      <c r="BC12" s="260" t="str">
        <f t="shared" si="1"/>
        <v/>
      </c>
      <c r="BD12" s="261"/>
      <c r="BE12" s="131"/>
      <c r="BI12" s="262"/>
      <c r="BJ12" s="263"/>
      <c r="BK12" s="263"/>
      <c r="BL12" s="211"/>
      <c r="BM12" s="211"/>
      <c r="BN12" s="211"/>
      <c r="BO12" s="211"/>
      <c r="BP12" s="211"/>
      <c r="BQ12" s="211"/>
      <c r="BR12" s="211"/>
      <c r="BS12" s="211"/>
      <c r="BT12" s="212"/>
      <c r="BU12" s="305"/>
      <c r="BV12" s="306"/>
      <c r="BW12" s="307"/>
      <c r="BX12" s="276"/>
      <c r="BY12" s="275"/>
      <c r="BZ12" s="275"/>
      <c r="CA12" s="275"/>
      <c r="CB12" s="275"/>
      <c r="CC12" s="275"/>
      <c r="CD12" s="275"/>
      <c r="CE12" s="275"/>
      <c r="CF12" s="275"/>
      <c r="CG12" s="275"/>
      <c r="CH12" s="275"/>
      <c r="CI12" s="275"/>
      <c r="CJ12" s="275"/>
      <c r="CQ12" s="84">
        <f>DATEDIF($AF12,日付!$B$2,"Y")</f>
        <v>126</v>
      </c>
      <c r="CR12" s="84">
        <f>DATEDIF($AF12,日付!$B$3,"Y")</f>
        <v>126</v>
      </c>
      <c r="CS12" s="84">
        <f>DATEDIF($AF12,日付!$B$4,"Y")</f>
        <v>126</v>
      </c>
      <c r="CT12" s="84">
        <f>DATEDIF($AF12,日付!$B$5,"Y")</f>
        <v>126</v>
      </c>
      <c r="CU12" s="84">
        <f>DATEDIF($AF12,日付!$B$6,"Y")</f>
        <v>126</v>
      </c>
      <c r="CV12" s="84">
        <f>DATEDIF($AF12,日付!$B$7,"Y")</f>
        <v>126</v>
      </c>
      <c r="CW12" s="84">
        <f>DATEDIF($AF12,日付!$B$8,"Y")</f>
        <v>126</v>
      </c>
      <c r="CX12" s="84">
        <f>DATEDIF($AF12,日付!$B$9,"Y")</f>
        <v>126</v>
      </c>
      <c r="CY12" s="84">
        <f>DATEDIF($AF12,日付!$B$10,"Y")</f>
        <v>127</v>
      </c>
      <c r="CZ12" s="84">
        <f>DATEDIF($AF12,日付!$B$11,"Y")</f>
        <v>127</v>
      </c>
      <c r="DA12" s="84">
        <f>DATEDIF($AF12,日付!$B$12,"Y")</f>
        <v>127</v>
      </c>
      <c r="DB12" s="84">
        <f>DATEDIF($AF12,日付!$B$13,"Y")</f>
        <v>127</v>
      </c>
      <c r="DD12" s="84" t="str">
        <f t="shared" ref="DD12:DD20" si="11">IF(CQ12&gt;64,"",IF(CQ12&gt;39,"介",""))</f>
        <v/>
      </c>
      <c r="DE12" s="84" t="str">
        <f t="shared" ref="DE12:DE20" si="12">IF(CR12&gt;64,"",IF(CR12&gt;39,"介",""))</f>
        <v/>
      </c>
      <c r="DF12" s="84" t="str">
        <f t="shared" ref="DF12:DF20" si="13">IF(CS12&gt;64,"",IF(CS12&gt;39,"介",""))</f>
        <v/>
      </c>
      <c r="DG12" s="84" t="str">
        <f t="shared" ref="DG12:DG20" si="14">IF(CT12&gt;64,"",IF(CT12&gt;39,"介",""))</f>
        <v/>
      </c>
      <c r="DH12" s="84" t="str">
        <f t="shared" ref="DH12:DH20" si="15">IF(CU12&gt;64,"",IF(CU12&gt;39,"介",""))</f>
        <v/>
      </c>
      <c r="DI12" s="84" t="str">
        <f t="shared" ref="DI12:DI20" si="16">IF(CV12&gt;64,"",IF(CV12&gt;39,"介",""))</f>
        <v/>
      </c>
      <c r="DJ12" s="84" t="str">
        <f t="shared" ref="DJ12:DJ20" si="17">IF(CW12&gt;64,"",IF(CW12&gt;39,"介",""))</f>
        <v/>
      </c>
      <c r="DK12" s="84" t="str">
        <f t="shared" ref="DK12:DK20" si="18">IF(CX12&gt;64,"",IF(CX12&gt;39,"介",""))</f>
        <v/>
      </c>
      <c r="DL12" s="84" t="str">
        <f t="shared" ref="DL12:DL20" si="19">IF(CY12&gt;64,"",IF(CY12&gt;39,"介",""))</f>
        <v/>
      </c>
      <c r="DM12" s="84" t="str">
        <f t="shared" ref="DM12:DM20" si="20">IF(CZ12&gt;64,"",IF(CZ12&gt;39,"介",""))</f>
        <v/>
      </c>
      <c r="DN12" s="84" t="str">
        <f t="shared" ref="DN12:DN20" si="21">IF(DA12&gt;64,"",IF(DA12&gt;39,"介",""))</f>
        <v/>
      </c>
      <c r="DO12" s="84" t="str">
        <f t="shared" ref="DO12:DO20" si="22">IF(DB12&gt;64,"",IF(DB12&gt;39,"介",""))</f>
        <v/>
      </c>
      <c r="DQ12" s="85">
        <f t="shared" si="3"/>
        <v>0</v>
      </c>
      <c r="DR12" s="85">
        <f t="shared" si="4"/>
        <v>0</v>
      </c>
      <c r="DT12" s="85">
        <f>IFERROR(DATEDIF(AF12,$DT$9,"Y"),0)</f>
        <v>126</v>
      </c>
      <c r="DU12" s="116" t="e">
        <f t="shared" si="5"/>
        <v>#VALUE!</v>
      </c>
      <c r="DV12" s="116" t="str">
        <f t="shared" si="6"/>
        <v/>
      </c>
      <c r="DW12" s="178"/>
      <c r="DX12" s="116">
        <v>2</v>
      </c>
      <c r="DY12" s="181" t="str">
        <f>IFERROR(IF(AI12&lt;日付!$C$15,IF(AI12="","",日付!$C$15),IF(DY11&lt;IF(AI12="",0,AI12),DY11,IF(AI12="","",AI12))),"")</f>
        <v/>
      </c>
      <c r="DZ12" s="184" t="str">
        <f t="shared" ref="DZ12:DZ20" si="23">IF($DY$23&gt;=IF(AI12="",1000000,AI12),1,"")</f>
        <v/>
      </c>
      <c r="EA12" s="182"/>
      <c r="EB12" s="1">
        <f t="shared" ref="EB12:EB20" si="24">IF(AND(G12&gt;650000,DZ12=1),1,0)</f>
        <v>0</v>
      </c>
      <c r="EC12" s="1">
        <f t="shared" ref="EC11:EC20" si="25">IF(AND(P12&gt;600000,DT12&lt;65,OR(K12=0,K12="")),1,0)</f>
        <v>0</v>
      </c>
      <c r="ED12" s="1">
        <f t="shared" si="7"/>
        <v>0</v>
      </c>
      <c r="EE12" s="167">
        <f t="shared" si="8"/>
        <v>0</v>
      </c>
      <c r="EF12" s="1" t="str">
        <f>IF(AF12="","",DATEDIF(AF12,日付!$B$15,"Y"))</f>
        <v/>
      </c>
    </row>
    <row r="13" spans="2:136" ht="22.5" customHeight="1" x14ac:dyDescent="0.2">
      <c r="B13" s="49" t="str">
        <f>IF($X$7&gt;=3,"③","")</f>
        <v/>
      </c>
      <c r="C13" s="213"/>
      <c r="D13" s="214"/>
      <c r="E13" s="214"/>
      <c r="F13" s="17" t="str">
        <f>IF($X$7&gt;=3,"円","")</f>
        <v/>
      </c>
      <c r="G13" s="213"/>
      <c r="H13" s="214"/>
      <c r="I13" s="214"/>
      <c r="J13" s="119" t="str">
        <f>IF($X$7&gt;=3,"円","")</f>
        <v/>
      </c>
      <c r="K13" s="236" t="str">
        <f>IF(G13="","",給与計算!C33)</f>
        <v/>
      </c>
      <c r="L13" s="237"/>
      <c r="M13" s="237"/>
      <c r="N13" s="151" t="str">
        <f>IF($X$7&gt;=3,"円","")</f>
        <v/>
      </c>
      <c r="O13" s="122"/>
      <c r="P13" s="213"/>
      <c r="Q13" s="214"/>
      <c r="R13" s="214"/>
      <c r="S13" s="153" t="str">
        <f>IF($X$7&gt;=3,"円","")</f>
        <v/>
      </c>
      <c r="T13" s="237" t="str">
        <f>年金計算!G31</f>
        <v/>
      </c>
      <c r="U13" s="237"/>
      <c r="V13" s="237"/>
      <c r="W13" s="155" t="str">
        <f>IF($X$7&gt;=3,"円","")</f>
        <v/>
      </c>
      <c r="X13" s="213"/>
      <c r="Y13" s="214"/>
      <c r="Z13" s="214"/>
      <c r="AA13" s="17" t="str">
        <f>IF($X$7&gt;=3,"円","")</f>
        <v/>
      </c>
      <c r="AB13" s="258">
        <f t="shared" si="0"/>
        <v>0</v>
      </c>
      <c r="AC13" s="259"/>
      <c r="AD13" s="259"/>
      <c r="AE13" s="17" t="str">
        <f>IF($X$7&gt;=3,"円","")</f>
        <v/>
      </c>
      <c r="AF13" s="247"/>
      <c r="AG13" s="359"/>
      <c r="AH13" s="172" t="str">
        <f>IF(AF13="","",DATEDIF(AF13,日付!$B$15,"Y"))</f>
        <v/>
      </c>
      <c r="AI13" s="247"/>
      <c r="AJ13" s="216"/>
      <c r="AK13" s="248"/>
      <c r="AL13" s="215"/>
      <c r="AM13" s="216"/>
      <c r="AN13" s="217"/>
      <c r="AO13" s="92" t="str">
        <f>IF($AL13&lt;日付!$B$2,"",IF($AI13&lt;日付!$B$2,IF(DD13&lt;&gt;"",DD13,IF($AI13&lt;日付!$B$2,"※","")),""))</f>
        <v/>
      </c>
      <c r="AP13" s="92" t="str">
        <f>IF($AL13&lt;日付!$B$3,"",IF($AI13&lt;日付!$B$3,IF(DE13&lt;&gt;"",DE13,IF($AI13&lt;日付!$B$3,"※","")),""))</f>
        <v/>
      </c>
      <c r="AQ13" s="92" t="str">
        <f>IF($AL13&lt;日付!$B$4,"",IF($AI13&lt;日付!$B$4,IF(DF13&lt;&gt;"",DF13,IF($AI13&lt;日付!$B$4,"※","")),""))</f>
        <v/>
      </c>
      <c r="AR13" s="92" t="str">
        <f>IF($AL13&lt;日付!$B$5,"",IF($AI13&lt;日付!$B$5,IF(DG13&lt;&gt;"",DG13,IF($AI13&lt;日付!$B$5,"※","")),""))</f>
        <v/>
      </c>
      <c r="AS13" s="92" t="str">
        <f>IF($AL13&lt;日付!$B$6,"",IF($AI13&lt;日付!$B$6,IF(DH13&lt;&gt;"",DH13,IF($AI13&lt;日付!$B$6,"※","")),""))</f>
        <v/>
      </c>
      <c r="AT13" s="92" t="str">
        <f>IF($AL13&lt;日付!$B$7,"",IF($AI13&lt;日付!$B$7,IF(DI13&lt;&gt;"",DI13,IF($AI13&lt;日付!$B$7,"※","")),""))</f>
        <v/>
      </c>
      <c r="AU13" s="92" t="str">
        <f>IF($AL13&lt;日付!$B$8,"",IF($AI13&lt;日付!$B$8,IF(DJ13&lt;&gt;"",DJ13,IF($AI13&lt;日付!$B$8,"※","")),""))</f>
        <v/>
      </c>
      <c r="AV13" s="92" t="str">
        <f>IF($AL13&lt;日付!$B$9,"",IF($AI13&lt;日付!$B$9,IF(DK13&lt;&gt;"",DK13,IF($AI13&lt;日付!$B$9,"※","")),""))</f>
        <v/>
      </c>
      <c r="AW13" s="92" t="str">
        <f>IF($AL13&lt;日付!$B$10,"",IF($AI13&lt;日付!$B$10,IF(DL13&lt;&gt;"",DL13,IF($AI13&lt;日付!$B$10,"※","")),""))</f>
        <v/>
      </c>
      <c r="AX13" s="92" t="str">
        <f>IF($AL13&lt;日付!$B$11,"",IF($AI13&lt;日付!$B$11,IF(DM13&lt;&gt;"",DM13,IF($AI13&lt;日付!$B$11,"※","")),""))</f>
        <v/>
      </c>
      <c r="AY13" s="92" t="str">
        <f>IF($AL13&lt;日付!$B$12,"",IF($AI13&lt;日付!$B$12,IF(DN13&lt;&gt;"",DN13,IF($AI13&lt;日付!$B$12,"※","")),""))</f>
        <v/>
      </c>
      <c r="AZ13" s="92" t="str">
        <f>IF($AL13&lt;日付!$B$13,"",IF($AI13&lt;日付!$B$13,IF(DO13&lt;&gt;"",DO13,IF($AI13&lt;日付!$B$13,"※","")),""))</f>
        <v/>
      </c>
      <c r="BA13" s="92" t="str">
        <f t="shared" si="9"/>
        <v/>
      </c>
      <c r="BB13" s="93" t="str">
        <f t="shared" si="10"/>
        <v/>
      </c>
      <c r="BC13" s="260" t="str">
        <f t="shared" si="1"/>
        <v/>
      </c>
      <c r="BD13" s="261"/>
      <c r="BE13" s="131"/>
      <c r="BI13" s="262" t="s">
        <v>48</v>
      </c>
      <c r="BJ13" s="263"/>
      <c r="BK13" s="263"/>
      <c r="BL13" s="279">
        <v>19800</v>
      </c>
      <c r="BM13" s="279"/>
      <c r="BN13" s="279"/>
      <c r="BO13" s="279">
        <v>7800</v>
      </c>
      <c r="BP13" s="279"/>
      <c r="BQ13" s="279"/>
      <c r="BR13" s="279">
        <v>6600</v>
      </c>
      <c r="BS13" s="279"/>
      <c r="BT13" s="281"/>
      <c r="BU13" s="288">
        <v>1200</v>
      </c>
      <c r="BV13" s="289"/>
      <c r="BW13" s="290"/>
      <c r="BX13" s="274" t="s">
        <v>49</v>
      </c>
      <c r="BY13" s="275"/>
      <c r="BZ13" s="275"/>
      <c r="CA13" s="275"/>
      <c r="CB13" s="275"/>
      <c r="CC13" s="275"/>
      <c r="CD13" s="275"/>
      <c r="CE13" s="275"/>
      <c r="CF13" s="275"/>
      <c r="CG13" s="275"/>
      <c r="CH13" s="275"/>
      <c r="CI13" s="275"/>
      <c r="CJ13" s="275"/>
      <c r="CQ13" s="84">
        <f>DATEDIF($AF13,日付!$B$2,"Y")</f>
        <v>126</v>
      </c>
      <c r="CR13" s="84">
        <f>DATEDIF($AF13,日付!$B$3,"Y")</f>
        <v>126</v>
      </c>
      <c r="CS13" s="84">
        <f>DATEDIF($AF13,日付!$B$4,"Y")</f>
        <v>126</v>
      </c>
      <c r="CT13" s="84">
        <f>DATEDIF($AF13,日付!$B$5,"Y")</f>
        <v>126</v>
      </c>
      <c r="CU13" s="84">
        <f>DATEDIF($AF13,日付!$B$6,"Y")</f>
        <v>126</v>
      </c>
      <c r="CV13" s="84">
        <f>DATEDIF($AF13,日付!$B$7,"Y")</f>
        <v>126</v>
      </c>
      <c r="CW13" s="84">
        <f>DATEDIF($AF13,日付!$B$8,"Y")</f>
        <v>126</v>
      </c>
      <c r="CX13" s="84">
        <f>DATEDIF($AF13,日付!$B$9,"Y")</f>
        <v>126</v>
      </c>
      <c r="CY13" s="84">
        <f>DATEDIF($AF13,日付!$B$10,"Y")</f>
        <v>127</v>
      </c>
      <c r="CZ13" s="84">
        <f>DATEDIF($AF13,日付!$B$11,"Y")</f>
        <v>127</v>
      </c>
      <c r="DA13" s="84">
        <f>DATEDIF($AF13,日付!$B$12,"Y")</f>
        <v>127</v>
      </c>
      <c r="DB13" s="84">
        <f>DATEDIF($AF13,日付!$B$13,"Y")</f>
        <v>127</v>
      </c>
      <c r="DD13" s="84" t="str">
        <f t="shared" si="11"/>
        <v/>
      </c>
      <c r="DE13" s="84" t="str">
        <f t="shared" si="12"/>
        <v/>
      </c>
      <c r="DF13" s="84" t="str">
        <f t="shared" si="13"/>
        <v/>
      </c>
      <c r="DG13" s="84" t="str">
        <f t="shared" si="14"/>
        <v/>
      </c>
      <c r="DH13" s="84" t="str">
        <f t="shared" si="15"/>
        <v/>
      </c>
      <c r="DI13" s="84" t="str">
        <f t="shared" si="16"/>
        <v/>
      </c>
      <c r="DJ13" s="84" t="str">
        <f t="shared" si="17"/>
        <v/>
      </c>
      <c r="DK13" s="84" t="str">
        <f t="shared" si="18"/>
        <v/>
      </c>
      <c r="DL13" s="84" t="str">
        <f t="shared" si="19"/>
        <v/>
      </c>
      <c r="DM13" s="84" t="str">
        <f t="shared" si="20"/>
        <v/>
      </c>
      <c r="DN13" s="84" t="str">
        <f t="shared" si="21"/>
        <v/>
      </c>
      <c r="DO13" s="84" t="str">
        <f t="shared" si="22"/>
        <v/>
      </c>
      <c r="DQ13" s="85">
        <f t="shared" si="3"/>
        <v>0</v>
      </c>
      <c r="DR13" s="85">
        <f t="shared" si="4"/>
        <v>0</v>
      </c>
      <c r="DT13" s="85">
        <f t="shared" ref="DT13:DT21" si="26">IFERROR(DATEDIF(AF13,$DT$9,"Y"),0)</f>
        <v>126</v>
      </c>
      <c r="DU13" s="116" t="e">
        <f t="shared" si="5"/>
        <v>#VALUE!</v>
      </c>
      <c r="DV13" s="116" t="str">
        <f t="shared" si="6"/>
        <v/>
      </c>
      <c r="DW13" s="178"/>
      <c r="DX13" s="116">
        <v>3</v>
      </c>
      <c r="DY13" s="181" t="str">
        <f>IFERROR(IF(AI13&lt;日付!$C$15,IF(AI13="","",日付!$C$15),IF(DY12&lt;IF(AI13="",0,AI13),DY12,IF(AI13="","",AI13))),"")</f>
        <v/>
      </c>
      <c r="DZ13" s="184" t="str">
        <f t="shared" si="23"/>
        <v/>
      </c>
      <c r="EA13" s="182"/>
      <c r="EB13" s="1">
        <f t="shared" si="24"/>
        <v>0</v>
      </c>
      <c r="EC13" s="1">
        <f t="shared" si="25"/>
        <v>0</v>
      </c>
      <c r="ED13" s="1">
        <f t="shared" si="7"/>
        <v>0</v>
      </c>
      <c r="EE13" s="167">
        <f t="shared" si="8"/>
        <v>0</v>
      </c>
      <c r="EF13" s="1" t="str">
        <f>IF(AF13="","",DATEDIF(AF13,日付!$B$15,"Y"))</f>
        <v/>
      </c>
    </row>
    <row r="14" spans="2:136" ht="22.5" customHeight="1" x14ac:dyDescent="0.2">
      <c r="B14" s="49" t="str">
        <f>IF($X$7&gt;=4,"④","")</f>
        <v/>
      </c>
      <c r="C14" s="213"/>
      <c r="D14" s="214"/>
      <c r="E14" s="214"/>
      <c r="F14" s="17" t="str">
        <f>IF($X$7&gt;=4,"円","")</f>
        <v/>
      </c>
      <c r="G14" s="213"/>
      <c r="H14" s="214"/>
      <c r="I14" s="214"/>
      <c r="J14" s="119" t="str">
        <f>IF($X$7&gt;=4,"円","")</f>
        <v/>
      </c>
      <c r="K14" s="236" t="str">
        <f>IF(G14="","",給与計算!C44)</f>
        <v/>
      </c>
      <c r="L14" s="237"/>
      <c r="M14" s="237"/>
      <c r="N14" s="151" t="str">
        <f>IF($X$7&gt;=4,"円","")</f>
        <v/>
      </c>
      <c r="O14" s="122"/>
      <c r="P14" s="213"/>
      <c r="Q14" s="214"/>
      <c r="R14" s="214"/>
      <c r="S14" s="153" t="str">
        <f>IF($X$7&gt;=4,"円","")</f>
        <v/>
      </c>
      <c r="T14" s="237" t="str">
        <f>年金計算!G46</f>
        <v/>
      </c>
      <c r="U14" s="237"/>
      <c r="V14" s="237"/>
      <c r="W14" s="155" t="str">
        <f>IF($X$7&gt;=4,"円","")</f>
        <v/>
      </c>
      <c r="X14" s="213"/>
      <c r="Y14" s="214"/>
      <c r="Z14" s="214"/>
      <c r="AA14" s="17" t="str">
        <f>IF($X$7&gt;=4,"円","")</f>
        <v/>
      </c>
      <c r="AB14" s="258">
        <f t="shared" si="0"/>
        <v>0</v>
      </c>
      <c r="AC14" s="259"/>
      <c r="AD14" s="259"/>
      <c r="AE14" s="17" t="str">
        <f>IF($X$7&gt;=4,"円","")</f>
        <v/>
      </c>
      <c r="AF14" s="247"/>
      <c r="AG14" s="359"/>
      <c r="AH14" s="172" t="str">
        <f>IF(AF14="","",DATEDIF(AF14,日付!$B$15,"Y"))</f>
        <v/>
      </c>
      <c r="AI14" s="247"/>
      <c r="AJ14" s="216"/>
      <c r="AK14" s="248"/>
      <c r="AL14" s="215"/>
      <c r="AM14" s="216"/>
      <c r="AN14" s="217"/>
      <c r="AO14" s="92" t="str">
        <f>IF($AL14&lt;日付!$B$2,"",IF($AI14&lt;日付!$B$2,IF(DD14&lt;&gt;"",DD14,IF($AI14&lt;日付!$B$2,"※","")),""))</f>
        <v/>
      </c>
      <c r="AP14" s="92" t="str">
        <f>IF($AL14&lt;日付!$B$3,"",IF($AI14&lt;日付!$B$3,IF(DE14&lt;&gt;"",DE14,IF($AI14&lt;日付!$B$3,"※","")),""))</f>
        <v/>
      </c>
      <c r="AQ14" s="92" t="str">
        <f>IF($AL14&lt;日付!$B$4,"",IF($AI14&lt;日付!$B$4,IF(DF14&lt;&gt;"",DF14,IF($AI14&lt;日付!$B$4,"※","")),""))</f>
        <v/>
      </c>
      <c r="AR14" s="92" t="str">
        <f>IF($AL14&lt;日付!$B$5,"",IF($AI14&lt;日付!$B$5,IF(DG14&lt;&gt;"",DG14,IF($AI14&lt;日付!$B$5,"※","")),""))</f>
        <v/>
      </c>
      <c r="AS14" s="92" t="str">
        <f>IF($AL14&lt;日付!$B$6,"",IF($AI14&lt;日付!$B$6,IF(DH14&lt;&gt;"",DH14,IF($AI14&lt;日付!$B$6,"※","")),""))</f>
        <v/>
      </c>
      <c r="AT14" s="92" t="str">
        <f>IF($AL14&lt;日付!$B$7,"",IF($AI14&lt;日付!$B$7,IF(DI14&lt;&gt;"",DI14,IF($AI14&lt;日付!$B$7,"※","")),""))</f>
        <v/>
      </c>
      <c r="AU14" s="92" t="str">
        <f>IF($AL14&lt;日付!$B$8,"",IF($AI14&lt;日付!$B$8,IF(DJ14&lt;&gt;"",DJ14,IF($AI14&lt;日付!$B$8,"※","")),""))</f>
        <v/>
      </c>
      <c r="AV14" s="92" t="str">
        <f>IF($AL14&lt;日付!$B$9,"",IF($AI14&lt;日付!$B$9,IF(DK14&lt;&gt;"",DK14,IF($AI14&lt;日付!$B$9,"※","")),""))</f>
        <v/>
      </c>
      <c r="AW14" s="92" t="str">
        <f>IF($AL14&lt;日付!$B$10,"",IF($AI14&lt;日付!$B$10,IF(DL14&lt;&gt;"",DL14,IF($AI14&lt;日付!$B$10,"※","")),""))</f>
        <v/>
      </c>
      <c r="AX14" s="92" t="str">
        <f>IF($AL14&lt;日付!$B$11,"",IF($AI14&lt;日付!$B$11,IF(DM14&lt;&gt;"",DM14,IF($AI14&lt;日付!$B$11,"※","")),""))</f>
        <v/>
      </c>
      <c r="AY14" s="92" t="str">
        <f>IF($AL14&lt;日付!$B$12,"",IF($AI14&lt;日付!$B$12,IF(DN14&lt;&gt;"",DN14,IF($AI14&lt;日付!$B$12,"※","")),""))</f>
        <v/>
      </c>
      <c r="AZ14" s="92" t="str">
        <f>IF($AL14&lt;日付!$B$13,"",IF($AI14&lt;日付!$B$13,IF(DO14&lt;&gt;"",DO14,IF($AI14&lt;日付!$B$13,"※","")),""))</f>
        <v/>
      </c>
      <c r="BA14" s="92" t="str">
        <f t="shared" si="9"/>
        <v/>
      </c>
      <c r="BB14" s="93" t="str">
        <f t="shared" si="10"/>
        <v/>
      </c>
      <c r="BC14" s="260" t="str">
        <f t="shared" si="1"/>
        <v/>
      </c>
      <c r="BD14" s="261"/>
      <c r="BE14" s="131"/>
      <c r="BI14" s="262"/>
      <c r="BJ14" s="263"/>
      <c r="BK14" s="263"/>
      <c r="BL14" s="279"/>
      <c r="BM14" s="279"/>
      <c r="BN14" s="279"/>
      <c r="BO14" s="279"/>
      <c r="BP14" s="279"/>
      <c r="BQ14" s="279"/>
      <c r="BR14" s="279"/>
      <c r="BS14" s="279"/>
      <c r="BT14" s="281"/>
      <c r="BU14" s="294"/>
      <c r="BV14" s="295"/>
      <c r="BW14" s="296"/>
      <c r="BX14" s="276"/>
      <c r="BY14" s="275"/>
      <c r="BZ14" s="275"/>
      <c r="CA14" s="275"/>
      <c r="CB14" s="275"/>
      <c r="CC14" s="275"/>
      <c r="CD14" s="275"/>
      <c r="CE14" s="275"/>
      <c r="CF14" s="275"/>
      <c r="CG14" s="275"/>
      <c r="CH14" s="275"/>
      <c r="CI14" s="275"/>
      <c r="CJ14" s="275"/>
      <c r="CQ14" s="84">
        <f>DATEDIF($AF14,日付!$B$2,"Y")</f>
        <v>126</v>
      </c>
      <c r="CR14" s="84">
        <f>DATEDIF($AF14,日付!$B$3,"Y")</f>
        <v>126</v>
      </c>
      <c r="CS14" s="84">
        <f>DATEDIF($AF14,日付!$B$4,"Y")</f>
        <v>126</v>
      </c>
      <c r="CT14" s="84">
        <f>DATEDIF($AF14,日付!$B$5,"Y")</f>
        <v>126</v>
      </c>
      <c r="CU14" s="84">
        <f>DATEDIF($AF14,日付!$B$6,"Y")</f>
        <v>126</v>
      </c>
      <c r="CV14" s="84">
        <f>DATEDIF($AF14,日付!$B$7,"Y")</f>
        <v>126</v>
      </c>
      <c r="CW14" s="84">
        <f>DATEDIF($AF14,日付!$B$8,"Y")</f>
        <v>126</v>
      </c>
      <c r="CX14" s="84">
        <f>DATEDIF($AF14,日付!$B$9,"Y")</f>
        <v>126</v>
      </c>
      <c r="CY14" s="84">
        <f>DATEDIF($AF14,日付!$B$10,"Y")</f>
        <v>127</v>
      </c>
      <c r="CZ14" s="84">
        <f>DATEDIF($AF14,日付!$B$11,"Y")</f>
        <v>127</v>
      </c>
      <c r="DA14" s="84">
        <f>DATEDIF($AF14,日付!$B$12,"Y")</f>
        <v>127</v>
      </c>
      <c r="DB14" s="84">
        <f>DATEDIF($AF14,日付!$B$13,"Y")</f>
        <v>127</v>
      </c>
      <c r="DD14" s="84" t="str">
        <f t="shared" si="11"/>
        <v/>
      </c>
      <c r="DE14" s="84" t="str">
        <f t="shared" si="12"/>
        <v/>
      </c>
      <c r="DF14" s="84" t="str">
        <f t="shared" si="13"/>
        <v/>
      </c>
      <c r="DG14" s="84" t="str">
        <f t="shared" si="14"/>
        <v/>
      </c>
      <c r="DH14" s="84" t="str">
        <f t="shared" si="15"/>
        <v/>
      </c>
      <c r="DI14" s="84" t="str">
        <f t="shared" si="16"/>
        <v/>
      </c>
      <c r="DJ14" s="84" t="str">
        <f t="shared" si="17"/>
        <v/>
      </c>
      <c r="DK14" s="84" t="str">
        <f t="shared" si="18"/>
        <v/>
      </c>
      <c r="DL14" s="84" t="str">
        <f t="shared" si="19"/>
        <v/>
      </c>
      <c r="DM14" s="84" t="str">
        <f t="shared" si="20"/>
        <v/>
      </c>
      <c r="DN14" s="84" t="str">
        <f t="shared" si="21"/>
        <v/>
      </c>
      <c r="DO14" s="84" t="str">
        <f t="shared" si="22"/>
        <v/>
      </c>
      <c r="DQ14" s="85">
        <f t="shared" si="3"/>
        <v>0</v>
      </c>
      <c r="DR14" s="85">
        <f t="shared" si="4"/>
        <v>0</v>
      </c>
      <c r="DT14" s="85">
        <f t="shared" si="26"/>
        <v>126</v>
      </c>
      <c r="DU14" s="116" t="e">
        <f t="shared" si="5"/>
        <v>#VALUE!</v>
      </c>
      <c r="DV14" s="116" t="str">
        <f t="shared" si="6"/>
        <v/>
      </c>
      <c r="DW14" s="178"/>
      <c r="DX14" s="116">
        <v>4</v>
      </c>
      <c r="DY14" s="181" t="str">
        <f>IFERROR(IF(AI14&lt;日付!$C$15,IF(AI14="","",日付!$C$15),IF(DY13&lt;IF(AI14="",0,AI14),DY13,IF(AI14="","",AI14))),"")</f>
        <v/>
      </c>
      <c r="DZ14" s="184" t="str">
        <f t="shared" si="23"/>
        <v/>
      </c>
      <c r="EA14" s="182"/>
      <c r="EB14" s="1">
        <f t="shared" si="24"/>
        <v>0</v>
      </c>
      <c r="EC14" s="1">
        <f t="shared" si="25"/>
        <v>0</v>
      </c>
      <c r="ED14" s="1">
        <f t="shared" si="7"/>
        <v>0</v>
      </c>
      <c r="EE14" s="167">
        <f t="shared" si="8"/>
        <v>0</v>
      </c>
      <c r="EF14" s="1" t="str">
        <f>IF(AF14="","",DATEDIF(AF14,日付!$B$15,"Y"))</f>
        <v/>
      </c>
    </row>
    <row r="15" spans="2:136" ht="22.5" customHeight="1" x14ac:dyDescent="0.2">
      <c r="B15" s="49" t="str">
        <f>IF($X$7&gt;=5,"⑤","")</f>
        <v/>
      </c>
      <c r="C15" s="213"/>
      <c r="D15" s="214"/>
      <c r="E15" s="214"/>
      <c r="F15" s="17" t="str">
        <f>IF($X$7&gt;=5,"円","")</f>
        <v/>
      </c>
      <c r="G15" s="213"/>
      <c r="H15" s="214"/>
      <c r="I15" s="214"/>
      <c r="J15" s="119" t="str">
        <f>IF($X$7&gt;=5,"円","")</f>
        <v/>
      </c>
      <c r="K15" s="236" t="str">
        <f>IF(G15="","",給与計算!C55)</f>
        <v/>
      </c>
      <c r="L15" s="237"/>
      <c r="M15" s="237"/>
      <c r="N15" s="151" t="str">
        <f>IF($X$7&gt;=5,"円","")</f>
        <v/>
      </c>
      <c r="O15" s="122"/>
      <c r="P15" s="213"/>
      <c r="Q15" s="214"/>
      <c r="R15" s="214"/>
      <c r="S15" s="153" t="str">
        <f>IF($X$7&gt;=5,"円","")</f>
        <v/>
      </c>
      <c r="T15" s="237" t="str">
        <f>年金計算!G61</f>
        <v/>
      </c>
      <c r="U15" s="237"/>
      <c r="V15" s="237"/>
      <c r="W15" s="155" t="str">
        <f>IF($X$7&gt;=5,"円","")</f>
        <v/>
      </c>
      <c r="X15" s="213"/>
      <c r="Y15" s="214"/>
      <c r="Z15" s="214"/>
      <c r="AA15" s="17" t="str">
        <f>IF($X$7&gt;=5,"円","")</f>
        <v/>
      </c>
      <c r="AB15" s="258">
        <f t="shared" si="0"/>
        <v>0</v>
      </c>
      <c r="AC15" s="259"/>
      <c r="AD15" s="259"/>
      <c r="AE15" s="17" t="str">
        <f>IF($X$7&gt;=5,"円","")</f>
        <v/>
      </c>
      <c r="AF15" s="247"/>
      <c r="AG15" s="359"/>
      <c r="AH15" s="172" t="str">
        <f>IF(AF15="","",DATEDIF(AF15,日付!$B$15,"Y"))</f>
        <v/>
      </c>
      <c r="AI15" s="247"/>
      <c r="AJ15" s="216"/>
      <c r="AK15" s="248"/>
      <c r="AL15" s="215"/>
      <c r="AM15" s="216"/>
      <c r="AN15" s="217"/>
      <c r="AO15" s="92" t="str">
        <f>IF($AL15&lt;日付!$B$2,"",IF($AI15&lt;日付!$B$2,IF(DD15&lt;&gt;"",DD15,IF($AI15&lt;日付!$B$2,"※","")),""))</f>
        <v/>
      </c>
      <c r="AP15" s="92" t="str">
        <f>IF($AL15&lt;日付!$B$3,"",IF($AI15&lt;日付!$B$3,IF(DE15&lt;&gt;"",DE15,IF($AI15&lt;日付!$B$3,"※","")),""))</f>
        <v/>
      </c>
      <c r="AQ15" s="92" t="str">
        <f>IF($AL15&lt;日付!$B$4,"",IF($AI15&lt;日付!$B$4,IF(DF15&lt;&gt;"",DF15,IF($AI15&lt;日付!$B$4,"※","")),""))</f>
        <v/>
      </c>
      <c r="AR15" s="92" t="str">
        <f>IF($AL15&lt;日付!$B$5,"",IF($AI15&lt;日付!$B$5,IF(DG15&lt;&gt;"",DG15,IF($AI15&lt;日付!$B$5,"※","")),""))</f>
        <v/>
      </c>
      <c r="AS15" s="92" t="str">
        <f>IF($AL15&lt;日付!$B$6,"",IF($AI15&lt;日付!$B$6,IF(DH15&lt;&gt;"",DH15,IF($AI15&lt;日付!$B$6,"※","")),""))</f>
        <v/>
      </c>
      <c r="AT15" s="92" t="str">
        <f>IF($AL15&lt;日付!$B$7,"",IF($AI15&lt;日付!$B$7,IF(DI15&lt;&gt;"",DI15,IF($AI15&lt;日付!$B$7,"※","")),""))</f>
        <v/>
      </c>
      <c r="AU15" s="92" t="str">
        <f>IF($AL15&lt;日付!$B$8,"",IF($AI15&lt;日付!$B$8,IF(DJ15&lt;&gt;"",DJ15,IF($AI15&lt;日付!$B$8,"※","")),""))</f>
        <v/>
      </c>
      <c r="AV15" s="92" t="str">
        <f>IF($AL15&lt;日付!$B$9,"",IF($AI15&lt;日付!$B$9,IF(DK15&lt;&gt;"",DK15,IF($AI15&lt;日付!$B$9,"※","")),""))</f>
        <v/>
      </c>
      <c r="AW15" s="92" t="str">
        <f>IF($AL15&lt;日付!$B$10,"",IF($AI15&lt;日付!$B$10,IF(DL15&lt;&gt;"",DL15,IF($AI15&lt;日付!$B$10,"※","")),""))</f>
        <v/>
      </c>
      <c r="AX15" s="92" t="str">
        <f>IF($AL15&lt;日付!$B$11,"",IF($AI15&lt;日付!$B$11,IF(DM15&lt;&gt;"",DM15,IF($AI15&lt;日付!$B$11,"※","")),""))</f>
        <v/>
      </c>
      <c r="AY15" s="92" t="str">
        <f>IF($AL15&lt;日付!$B$12,"",IF($AI15&lt;日付!$B$12,IF(DN15&lt;&gt;"",DN15,IF($AI15&lt;日付!$B$12,"※","")),""))</f>
        <v/>
      </c>
      <c r="AZ15" s="92" t="str">
        <f>IF($AL15&lt;日付!$B$13,"",IF($AI15&lt;日付!$B$13,IF(DO15&lt;&gt;"",DO15,IF($AI15&lt;日付!$B$13,"※","")),""))</f>
        <v/>
      </c>
      <c r="BA15" s="92" t="str">
        <f t="shared" si="9"/>
        <v/>
      </c>
      <c r="BB15" s="93" t="str">
        <f t="shared" si="10"/>
        <v/>
      </c>
      <c r="BC15" s="260" t="str">
        <f t="shared" si="1"/>
        <v/>
      </c>
      <c r="BD15" s="261"/>
      <c r="BE15" s="131"/>
      <c r="BI15" s="314" t="s">
        <v>220</v>
      </c>
      <c r="BJ15" s="315"/>
      <c r="BK15" s="316"/>
      <c r="BL15" s="320"/>
      <c r="BM15" s="321"/>
      <c r="BN15" s="322"/>
      <c r="BO15" s="320"/>
      <c r="BP15" s="321"/>
      <c r="BQ15" s="322"/>
      <c r="BR15" s="320"/>
      <c r="BS15" s="321"/>
      <c r="BT15" s="322"/>
      <c r="BU15" s="288">
        <v>60</v>
      </c>
      <c r="BV15" s="289"/>
      <c r="BW15" s="290"/>
      <c r="BX15" s="274" t="s">
        <v>221</v>
      </c>
      <c r="BY15" s="275"/>
      <c r="BZ15" s="275"/>
      <c r="CA15" s="275"/>
      <c r="CB15" s="275"/>
      <c r="CC15" s="275"/>
      <c r="CD15" s="275"/>
      <c r="CE15" s="275"/>
      <c r="CF15" s="275"/>
      <c r="CG15" s="275"/>
      <c r="CH15" s="275"/>
      <c r="CI15" s="275"/>
      <c r="CJ15" s="275"/>
      <c r="CQ15" s="84">
        <f>DATEDIF($AF15,日付!$B$2,"Y")</f>
        <v>126</v>
      </c>
      <c r="CR15" s="84">
        <f>DATEDIF($AF15,日付!$B$3,"Y")</f>
        <v>126</v>
      </c>
      <c r="CS15" s="84">
        <f>DATEDIF($AF15,日付!$B$4,"Y")</f>
        <v>126</v>
      </c>
      <c r="CT15" s="84">
        <f>DATEDIF($AF15,日付!$B$5,"Y")</f>
        <v>126</v>
      </c>
      <c r="CU15" s="84">
        <f>DATEDIF($AF15,日付!$B$6,"Y")</f>
        <v>126</v>
      </c>
      <c r="CV15" s="84">
        <f>DATEDIF($AF15,日付!$B$7,"Y")</f>
        <v>126</v>
      </c>
      <c r="CW15" s="84">
        <f>DATEDIF($AF15,日付!$B$8,"Y")</f>
        <v>126</v>
      </c>
      <c r="CX15" s="84">
        <f>DATEDIF($AF15,日付!$B$9,"Y")</f>
        <v>126</v>
      </c>
      <c r="CY15" s="84">
        <f>DATEDIF($AF15,日付!$B$10,"Y")</f>
        <v>127</v>
      </c>
      <c r="CZ15" s="84">
        <f>DATEDIF($AF15,日付!$B$11,"Y")</f>
        <v>127</v>
      </c>
      <c r="DA15" s="84">
        <f>DATEDIF($AF15,日付!$B$12,"Y")</f>
        <v>127</v>
      </c>
      <c r="DB15" s="84">
        <f>DATEDIF($AF15,日付!$B$13,"Y")</f>
        <v>127</v>
      </c>
      <c r="DD15" s="84" t="str">
        <f t="shared" si="11"/>
        <v/>
      </c>
      <c r="DE15" s="84" t="str">
        <f t="shared" si="12"/>
        <v/>
      </c>
      <c r="DF15" s="84" t="str">
        <f t="shared" si="13"/>
        <v/>
      </c>
      <c r="DG15" s="84" t="str">
        <f t="shared" si="14"/>
        <v/>
      </c>
      <c r="DH15" s="84" t="str">
        <f t="shared" si="15"/>
        <v/>
      </c>
      <c r="DI15" s="84" t="str">
        <f t="shared" si="16"/>
        <v/>
      </c>
      <c r="DJ15" s="84" t="str">
        <f t="shared" si="17"/>
        <v/>
      </c>
      <c r="DK15" s="84" t="str">
        <f t="shared" si="18"/>
        <v/>
      </c>
      <c r="DL15" s="84" t="str">
        <f t="shared" si="19"/>
        <v/>
      </c>
      <c r="DM15" s="84" t="str">
        <f t="shared" si="20"/>
        <v/>
      </c>
      <c r="DN15" s="84" t="str">
        <f t="shared" si="21"/>
        <v/>
      </c>
      <c r="DO15" s="84" t="str">
        <f t="shared" si="22"/>
        <v/>
      </c>
      <c r="DQ15" s="85">
        <f t="shared" si="3"/>
        <v>0</v>
      </c>
      <c r="DR15" s="85">
        <f t="shared" si="4"/>
        <v>0</v>
      </c>
      <c r="DT15" s="85">
        <f t="shared" si="26"/>
        <v>126</v>
      </c>
      <c r="DU15" s="116" t="e">
        <f t="shared" si="5"/>
        <v>#VALUE!</v>
      </c>
      <c r="DV15" s="116" t="str">
        <f t="shared" si="6"/>
        <v/>
      </c>
      <c r="DW15" s="178"/>
      <c r="DX15" s="116">
        <v>5</v>
      </c>
      <c r="DY15" s="181" t="str">
        <f>IFERROR(IF(AI15&lt;日付!$C$15,IF(AI15="","",日付!$C$15),IF(DY14&lt;IF(AI15="",0,AI15),DY14,IF(AI15="","",AI15))),"")</f>
        <v/>
      </c>
      <c r="DZ15" s="184" t="str">
        <f t="shared" si="23"/>
        <v/>
      </c>
      <c r="EA15" s="182"/>
      <c r="EB15" s="1">
        <f t="shared" si="24"/>
        <v>0</v>
      </c>
      <c r="EC15" s="1">
        <f t="shared" si="25"/>
        <v>0</v>
      </c>
      <c r="ED15" s="1">
        <f t="shared" si="7"/>
        <v>0</v>
      </c>
      <c r="EE15" s="167">
        <f t="shared" si="8"/>
        <v>0</v>
      </c>
      <c r="EF15" s="1" t="str">
        <f>IF(AF15="","",DATEDIF(AF15,日付!$B$15,"Y"))</f>
        <v/>
      </c>
    </row>
    <row r="16" spans="2:136" ht="22.5" customHeight="1" x14ac:dyDescent="0.2">
      <c r="B16" s="49" t="str">
        <f>IF($X$7&gt;=6,"⑥","")</f>
        <v/>
      </c>
      <c r="C16" s="213"/>
      <c r="D16" s="214"/>
      <c r="E16" s="214"/>
      <c r="F16" s="17" t="str">
        <f>IF($X$7&gt;=6,"円","")</f>
        <v/>
      </c>
      <c r="G16" s="213"/>
      <c r="H16" s="214"/>
      <c r="I16" s="214"/>
      <c r="J16" s="119" t="str">
        <f>IF($X$7&gt;=6,"円","")</f>
        <v/>
      </c>
      <c r="K16" s="236" t="str">
        <f>IF(G16="","",給与計算!C66)</f>
        <v/>
      </c>
      <c r="L16" s="237"/>
      <c r="M16" s="237"/>
      <c r="N16" s="151" t="str">
        <f>IF($X$7&gt;=6,"円","")</f>
        <v/>
      </c>
      <c r="O16" s="122"/>
      <c r="P16" s="213"/>
      <c r="Q16" s="214"/>
      <c r="R16" s="214"/>
      <c r="S16" s="153" t="str">
        <f>IF($X$7&gt;=6,"円","")</f>
        <v/>
      </c>
      <c r="T16" s="237" t="str">
        <f>年金計算!G76</f>
        <v/>
      </c>
      <c r="U16" s="237"/>
      <c r="V16" s="237"/>
      <c r="W16" s="155" t="str">
        <f>IF($X$7&gt;=6,"円","")</f>
        <v/>
      </c>
      <c r="X16" s="213"/>
      <c r="Y16" s="214"/>
      <c r="Z16" s="214"/>
      <c r="AA16" s="17" t="str">
        <f>IF($X$7&gt;=6,"円","")</f>
        <v/>
      </c>
      <c r="AB16" s="258">
        <f t="shared" si="0"/>
        <v>0</v>
      </c>
      <c r="AC16" s="259"/>
      <c r="AD16" s="259"/>
      <c r="AE16" s="17" t="str">
        <f>IF($X$7&gt;=6,"円","")</f>
        <v/>
      </c>
      <c r="AF16" s="247"/>
      <c r="AG16" s="359"/>
      <c r="AH16" s="172" t="str">
        <f>IF(AF16="","",DATEDIF(AF16,日付!$B$15,"Y"))</f>
        <v/>
      </c>
      <c r="AI16" s="247"/>
      <c r="AJ16" s="216"/>
      <c r="AK16" s="248"/>
      <c r="AL16" s="215"/>
      <c r="AM16" s="216"/>
      <c r="AN16" s="217"/>
      <c r="AO16" s="92" t="str">
        <f>IF($AL16&lt;日付!$B$2,"",IF($AI16&lt;日付!$B$2,IF(DD16&lt;&gt;"",DD16,IF($AI16&lt;日付!$B$2,"※","")),""))</f>
        <v/>
      </c>
      <c r="AP16" s="92" t="str">
        <f>IF($AL16&lt;日付!$B$3,"",IF($AI16&lt;日付!$B$3,IF(DE16&lt;&gt;"",DE16,IF($AI16&lt;日付!$B$3,"※","")),""))</f>
        <v/>
      </c>
      <c r="AQ16" s="92" t="str">
        <f>IF($AL16&lt;日付!$B$4,"",IF($AI16&lt;日付!$B$4,IF(DF16&lt;&gt;"",DF16,IF($AI16&lt;日付!$B$4,"※","")),""))</f>
        <v/>
      </c>
      <c r="AR16" s="92" t="str">
        <f>IF($AL16&lt;日付!$B$5,"",IF($AI16&lt;日付!$B$5,IF(DG16&lt;&gt;"",DG16,IF($AI16&lt;日付!$B$5,"※","")),""))</f>
        <v/>
      </c>
      <c r="AS16" s="92" t="str">
        <f>IF($AL16&lt;日付!$B$6,"",IF($AI16&lt;日付!$B$6,IF(DH16&lt;&gt;"",DH16,IF($AI16&lt;日付!$B$6,"※","")),""))</f>
        <v/>
      </c>
      <c r="AT16" s="92" t="str">
        <f>IF($AL16&lt;日付!$B$7,"",IF($AI16&lt;日付!$B$7,IF(DI16&lt;&gt;"",DI16,IF($AI16&lt;日付!$B$7,"※","")),""))</f>
        <v/>
      </c>
      <c r="AU16" s="92" t="str">
        <f>IF($AL16&lt;日付!$B$8,"",IF($AI16&lt;日付!$B$8,IF(DJ16&lt;&gt;"",DJ16,IF($AI16&lt;日付!$B$8,"※","")),""))</f>
        <v/>
      </c>
      <c r="AV16" s="92" t="str">
        <f>IF($AL16&lt;日付!$B$9,"",IF($AI16&lt;日付!$B$9,IF(DK16&lt;&gt;"",DK16,IF($AI16&lt;日付!$B$9,"※","")),""))</f>
        <v/>
      </c>
      <c r="AW16" s="92" t="str">
        <f>IF($AL16&lt;日付!$B$10,"",IF($AI16&lt;日付!$B$10,IF(DL16&lt;&gt;"",DL16,IF($AI16&lt;日付!$B$10,"※","")),""))</f>
        <v/>
      </c>
      <c r="AX16" s="92" t="str">
        <f>IF($AL16&lt;日付!$B$11,"",IF($AI16&lt;日付!$B$11,IF(DM16&lt;&gt;"",DM16,IF($AI16&lt;日付!$B$11,"※","")),""))</f>
        <v/>
      </c>
      <c r="AY16" s="92" t="str">
        <f>IF($AL16&lt;日付!$B$12,"",IF($AI16&lt;日付!$B$12,IF(DN16&lt;&gt;"",DN16,IF($AI16&lt;日付!$B$12,"※","")),""))</f>
        <v/>
      </c>
      <c r="AZ16" s="92" t="str">
        <f>IF($AL16&lt;日付!$B$13,"",IF($AI16&lt;日付!$B$13,IF(DO16&lt;&gt;"",DO16,IF($AI16&lt;日付!$B$13,"※","")),""))</f>
        <v/>
      </c>
      <c r="BA16" s="92" t="str">
        <f t="shared" si="9"/>
        <v/>
      </c>
      <c r="BB16" s="93" t="str">
        <f t="shared" si="10"/>
        <v/>
      </c>
      <c r="BC16" s="260" t="str">
        <f t="shared" si="1"/>
        <v/>
      </c>
      <c r="BD16" s="261"/>
      <c r="BE16" s="131"/>
      <c r="BI16" s="317"/>
      <c r="BJ16" s="318"/>
      <c r="BK16" s="319"/>
      <c r="BL16" s="323"/>
      <c r="BM16" s="324"/>
      <c r="BN16" s="325"/>
      <c r="BO16" s="323"/>
      <c r="BP16" s="324"/>
      <c r="BQ16" s="325"/>
      <c r="BR16" s="323"/>
      <c r="BS16" s="324"/>
      <c r="BT16" s="325"/>
      <c r="BU16" s="294"/>
      <c r="BV16" s="295"/>
      <c r="BW16" s="296"/>
      <c r="BX16" s="276"/>
      <c r="BY16" s="275"/>
      <c r="BZ16" s="275"/>
      <c r="CA16" s="275"/>
      <c r="CB16" s="275"/>
      <c r="CC16" s="275"/>
      <c r="CD16" s="275"/>
      <c r="CE16" s="275"/>
      <c r="CF16" s="275"/>
      <c r="CG16" s="275"/>
      <c r="CH16" s="275"/>
      <c r="CI16" s="275"/>
      <c r="CJ16" s="275"/>
      <c r="CQ16" s="84">
        <f>DATEDIF($AF16,日付!$B$2,"Y")</f>
        <v>126</v>
      </c>
      <c r="CR16" s="84">
        <f>DATEDIF($AF16,日付!$B$3,"Y")</f>
        <v>126</v>
      </c>
      <c r="CS16" s="84">
        <f>DATEDIF($AF16,日付!$B$4,"Y")</f>
        <v>126</v>
      </c>
      <c r="CT16" s="84">
        <f>DATEDIF($AF16,日付!$B$5,"Y")</f>
        <v>126</v>
      </c>
      <c r="CU16" s="84">
        <f>DATEDIF($AF16,日付!$B$6,"Y")</f>
        <v>126</v>
      </c>
      <c r="CV16" s="84">
        <f>DATEDIF($AF16,日付!$B$7,"Y")</f>
        <v>126</v>
      </c>
      <c r="CW16" s="84">
        <f>DATEDIF($AF16,日付!$B$8,"Y")</f>
        <v>126</v>
      </c>
      <c r="CX16" s="84">
        <f>DATEDIF($AF16,日付!$B$9,"Y")</f>
        <v>126</v>
      </c>
      <c r="CY16" s="84">
        <f>DATEDIF($AF16,日付!$B$10,"Y")</f>
        <v>127</v>
      </c>
      <c r="CZ16" s="84">
        <f>DATEDIF($AF16,日付!$B$11,"Y")</f>
        <v>127</v>
      </c>
      <c r="DA16" s="84">
        <f>DATEDIF($AF16,日付!$B$12,"Y")</f>
        <v>127</v>
      </c>
      <c r="DB16" s="84">
        <f>DATEDIF($AF16,日付!$B$13,"Y")</f>
        <v>127</v>
      </c>
      <c r="DD16" s="84" t="str">
        <f t="shared" si="11"/>
        <v/>
      </c>
      <c r="DE16" s="84" t="str">
        <f t="shared" si="12"/>
        <v/>
      </c>
      <c r="DF16" s="84" t="str">
        <f t="shared" si="13"/>
        <v/>
      </c>
      <c r="DG16" s="84" t="str">
        <f t="shared" si="14"/>
        <v/>
      </c>
      <c r="DH16" s="84" t="str">
        <f t="shared" si="15"/>
        <v/>
      </c>
      <c r="DI16" s="84" t="str">
        <f t="shared" si="16"/>
        <v/>
      </c>
      <c r="DJ16" s="84" t="str">
        <f t="shared" si="17"/>
        <v/>
      </c>
      <c r="DK16" s="84" t="str">
        <f t="shared" si="18"/>
        <v/>
      </c>
      <c r="DL16" s="84" t="str">
        <f t="shared" si="19"/>
        <v/>
      </c>
      <c r="DM16" s="84" t="str">
        <f t="shared" si="20"/>
        <v/>
      </c>
      <c r="DN16" s="84" t="str">
        <f t="shared" si="21"/>
        <v/>
      </c>
      <c r="DO16" s="84" t="str">
        <f t="shared" si="22"/>
        <v/>
      </c>
      <c r="DQ16" s="85">
        <f t="shared" si="3"/>
        <v>0</v>
      </c>
      <c r="DR16" s="85">
        <f t="shared" si="4"/>
        <v>0</v>
      </c>
      <c r="DT16" s="85">
        <f t="shared" si="26"/>
        <v>126</v>
      </c>
      <c r="DU16" s="116" t="e">
        <f t="shared" si="5"/>
        <v>#VALUE!</v>
      </c>
      <c r="DV16" s="116" t="str">
        <f t="shared" si="6"/>
        <v/>
      </c>
      <c r="DW16" s="178"/>
      <c r="DX16" s="116">
        <v>6</v>
      </c>
      <c r="DY16" s="181" t="str">
        <f>IFERROR(IF(AI16&lt;日付!$C$15,IF(AI16="","",日付!$C$15),IF(DY15&lt;IF(AI16="",0,AI16),DY15,IF(AI16="","",AI16))),"")</f>
        <v/>
      </c>
      <c r="DZ16" s="184" t="str">
        <f t="shared" si="23"/>
        <v/>
      </c>
      <c r="EA16" s="182"/>
      <c r="EB16" s="1">
        <f t="shared" si="24"/>
        <v>0</v>
      </c>
      <c r="EC16" s="1">
        <f t="shared" si="25"/>
        <v>0</v>
      </c>
      <c r="ED16" s="1">
        <f t="shared" si="7"/>
        <v>0</v>
      </c>
      <c r="EE16" s="167">
        <f t="shared" si="8"/>
        <v>0</v>
      </c>
      <c r="EF16" s="1" t="str">
        <f>IF(AF16="","",DATEDIF(AF16,日付!$B$15,"Y"))</f>
        <v/>
      </c>
    </row>
    <row r="17" spans="2:136" ht="22.5" customHeight="1" x14ac:dyDescent="0.2">
      <c r="B17" s="49" t="str">
        <f>IF($X$7&gt;=7,"⑦","")</f>
        <v/>
      </c>
      <c r="C17" s="213"/>
      <c r="D17" s="214"/>
      <c r="E17" s="214"/>
      <c r="F17" s="17" t="str">
        <f>IF($X$7&gt;=7,"円","")</f>
        <v/>
      </c>
      <c r="G17" s="213"/>
      <c r="H17" s="214"/>
      <c r="I17" s="214"/>
      <c r="J17" s="119" t="str">
        <f>IF($X$7&gt;=7,"円","")</f>
        <v/>
      </c>
      <c r="K17" s="236" t="str">
        <f>IF(G17="","",給与計算!C77)</f>
        <v/>
      </c>
      <c r="L17" s="237"/>
      <c r="M17" s="237"/>
      <c r="N17" s="151" t="str">
        <f>IF($X$7&gt;=7,"円","")</f>
        <v/>
      </c>
      <c r="O17" s="122"/>
      <c r="P17" s="213"/>
      <c r="Q17" s="214"/>
      <c r="R17" s="214"/>
      <c r="S17" s="153" t="str">
        <f>IF($X$7&gt;=7,"円","")</f>
        <v/>
      </c>
      <c r="T17" s="237" t="str">
        <f>年金計算!G91</f>
        <v/>
      </c>
      <c r="U17" s="237"/>
      <c r="V17" s="237"/>
      <c r="W17" s="155" t="str">
        <f>IF($X$7&gt;=7,"円","")</f>
        <v/>
      </c>
      <c r="X17" s="213"/>
      <c r="Y17" s="214"/>
      <c r="Z17" s="214"/>
      <c r="AA17" s="17" t="str">
        <f>IF($X$7&gt;=7,"円","")</f>
        <v/>
      </c>
      <c r="AB17" s="258">
        <f t="shared" si="0"/>
        <v>0</v>
      </c>
      <c r="AC17" s="259"/>
      <c r="AD17" s="259"/>
      <c r="AE17" s="17" t="str">
        <f>IF($X$7&gt;=7,"円","")</f>
        <v/>
      </c>
      <c r="AF17" s="247"/>
      <c r="AG17" s="359"/>
      <c r="AH17" s="172" t="str">
        <f>IF(AF17="","",DATEDIF(AF17,日付!$B$15,"Y"))</f>
        <v/>
      </c>
      <c r="AI17" s="247"/>
      <c r="AJ17" s="216"/>
      <c r="AK17" s="248"/>
      <c r="AL17" s="215"/>
      <c r="AM17" s="216"/>
      <c r="AN17" s="217"/>
      <c r="AO17" s="92" t="str">
        <f>IF($AL17&lt;日付!$B$2,"",IF($AI17&lt;日付!$B$2,IF(DD17&lt;&gt;"",DD17,IF($AI17&lt;日付!$B$2,"※","")),""))</f>
        <v/>
      </c>
      <c r="AP17" s="92" t="str">
        <f>IF($AL17&lt;日付!$B$3,"",IF($AI17&lt;日付!$B$3,IF(DE17&lt;&gt;"",DE17,IF($AI17&lt;日付!$B$3,"※","")),""))</f>
        <v/>
      </c>
      <c r="AQ17" s="92" t="str">
        <f>IF($AL17&lt;日付!$B$4,"",IF($AI17&lt;日付!$B$4,IF(DF17&lt;&gt;"",DF17,IF($AI17&lt;日付!$B$4,"※","")),""))</f>
        <v/>
      </c>
      <c r="AR17" s="92" t="str">
        <f>IF($AL17&lt;日付!$B$5,"",IF($AI17&lt;日付!$B$5,IF(DG17&lt;&gt;"",DG17,IF($AI17&lt;日付!$B$5,"※","")),""))</f>
        <v/>
      </c>
      <c r="AS17" s="92" t="str">
        <f>IF($AL17&lt;日付!$B$6,"",IF($AI17&lt;日付!$B$6,IF(DH17&lt;&gt;"",DH17,IF($AI17&lt;日付!$B$6,"※","")),""))</f>
        <v/>
      </c>
      <c r="AT17" s="92" t="str">
        <f>IF($AL17&lt;日付!$B$7,"",IF($AI17&lt;日付!$B$7,IF(DI17&lt;&gt;"",DI17,IF($AI17&lt;日付!$B$7,"※","")),""))</f>
        <v/>
      </c>
      <c r="AU17" s="92" t="str">
        <f>IF($AL17&lt;日付!$B$8,"",IF($AI17&lt;日付!$B$8,IF(DJ17&lt;&gt;"",DJ17,IF($AI17&lt;日付!$B$8,"※","")),""))</f>
        <v/>
      </c>
      <c r="AV17" s="92" t="str">
        <f>IF($AL17&lt;日付!$B$9,"",IF($AI17&lt;日付!$B$9,IF(DK17&lt;&gt;"",DK17,IF($AI17&lt;日付!$B$9,"※","")),""))</f>
        <v/>
      </c>
      <c r="AW17" s="92" t="str">
        <f>IF($AL17&lt;日付!$B$10,"",IF($AI17&lt;日付!$B$10,IF(DL17&lt;&gt;"",DL17,IF($AI17&lt;日付!$B$10,"※","")),""))</f>
        <v/>
      </c>
      <c r="AX17" s="92" t="str">
        <f>IF($AL17&lt;日付!$B$11,"",IF($AI17&lt;日付!$B$11,IF(DM17&lt;&gt;"",DM17,IF($AI17&lt;日付!$B$11,"※","")),""))</f>
        <v/>
      </c>
      <c r="AY17" s="92" t="str">
        <f>IF($AL17&lt;日付!$B$12,"",IF($AI17&lt;日付!$B$12,IF(DN17&lt;&gt;"",DN17,IF($AI17&lt;日付!$B$12,"※","")),""))</f>
        <v/>
      </c>
      <c r="AZ17" s="92" t="str">
        <f>IF($AL17&lt;日付!$B$13,"",IF($AI17&lt;日付!$B$13,IF(DO17&lt;&gt;"",DO17,IF($AI17&lt;日付!$B$13,"※","")),""))</f>
        <v/>
      </c>
      <c r="BA17" s="92" t="str">
        <f t="shared" si="9"/>
        <v/>
      </c>
      <c r="BB17" s="93" t="str">
        <f t="shared" si="10"/>
        <v/>
      </c>
      <c r="BC17" s="260" t="str">
        <f t="shared" si="1"/>
        <v/>
      </c>
      <c r="BD17" s="261"/>
      <c r="BE17" s="131"/>
      <c r="BI17" s="262" t="s">
        <v>50</v>
      </c>
      <c r="BJ17" s="263"/>
      <c r="BK17" s="263"/>
      <c r="BL17" s="279">
        <v>19800</v>
      </c>
      <c r="BM17" s="279"/>
      <c r="BN17" s="279"/>
      <c r="BO17" s="279">
        <v>7800</v>
      </c>
      <c r="BP17" s="279"/>
      <c r="BQ17" s="279"/>
      <c r="BR17" s="279">
        <v>6000</v>
      </c>
      <c r="BS17" s="279"/>
      <c r="BT17" s="281"/>
      <c r="BU17" s="288">
        <v>600</v>
      </c>
      <c r="BV17" s="289"/>
      <c r="BW17" s="290"/>
      <c r="BX17" s="274" t="s">
        <v>51</v>
      </c>
      <c r="BY17" s="275"/>
      <c r="BZ17" s="275"/>
      <c r="CA17" s="275"/>
      <c r="CB17" s="275"/>
      <c r="CC17" s="275"/>
      <c r="CD17" s="275"/>
      <c r="CE17" s="275"/>
      <c r="CF17" s="275"/>
      <c r="CG17" s="275"/>
      <c r="CH17" s="275"/>
      <c r="CI17" s="275"/>
      <c r="CJ17" s="275"/>
      <c r="CQ17" s="84">
        <f>DATEDIF($AF17,日付!$B$2,"Y")</f>
        <v>126</v>
      </c>
      <c r="CR17" s="84">
        <f>DATEDIF($AF17,日付!$B$3,"Y")</f>
        <v>126</v>
      </c>
      <c r="CS17" s="84">
        <f>DATEDIF($AF17,日付!$B$4,"Y")</f>
        <v>126</v>
      </c>
      <c r="CT17" s="84">
        <f>DATEDIF($AF17,日付!$B$5,"Y")</f>
        <v>126</v>
      </c>
      <c r="CU17" s="84">
        <f>DATEDIF($AF17,日付!$B$6,"Y")</f>
        <v>126</v>
      </c>
      <c r="CV17" s="84">
        <f>DATEDIF($AF17,日付!$B$7,"Y")</f>
        <v>126</v>
      </c>
      <c r="CW17" s="84">
        <f>DATEDIF($AF17,日付!$B$8,"Y")</f>
        <v>126</v>
      </c>
      <c r="CX17" s="84">
        <f>DATEDIF($AF17,日付!$B$9,"Y")</f>
        <v>126</v>
      </c>
      <c r="CY17" s="84">
        <f>DATEDIF($AF17,日付!$B$10,"Y")</f>
        <v>127</v>
      </c>
      <c r="CZ17" s="84">
        <f>DATEDIF($AF17,日付!$B$11,"Y")</f>
        <v>127</v>
      </c>
      <c r="DA17" s="84">
        <f>DATEDIF($AF17,日付!$B$12,"Y")</f>
        <v>127</v>
      </c>
      <c r="DB17" s="84">
        <f>DATEDIF($AF17,日付!$B$13,"Y")</f>
        <v>127</v>
      </c>
      <c r="DD17" s="84" t="str">
        <f t="shared" si="11"/>
        <v/>
      </c>
      <c r="DE17" s="84" t="str">
        <f t="shared" si="12"/>
        <v/>
      </c>
      <c r="DF17" s="84" t="str">
        <f t="shared" si="13"/>
        <v/>
      </c>
      <c r="DG17" s="84" t="str">
        <f t="shared" si="14"/>
        <v/>
      </c>
      <c r="DH17" s="84" t="str">
        <f t="shared" si="15"/>
        <v/>
      </c>
      <c r="DI17" s="84" t="str">
        <f t="shared" si="16"/>
        <v/>
      </c>
      <c r="DJ17" s="84" t="str">
        <f t="shared" si="17"/>
        <v/>
      </c>
      <c r="DK17" s="84" t="str">
        <f t="shared" si="18"/>
        <v/>
      </c>
      <c r="DL17" s="84" t="str">
        <f t="shared" si="19"/>
        <v/>
      </c>
      <c r="DM17" s="84" t="str">
        <f t="shared" si="20"/>
        <v/>
      </c>
      <c r="DN17" s="84" t="str">
        <f t="shared" si="21"/>
        <v/>
      </c>
      <c r="DO17" s="84" t="str">
        <f t="shared" si="22"/>
        <v/>
      </c>
      <c r="DQ17" s="85">
        <f t="shared" si="3"/>
        <v>0</v>
      </c>
      <c r="DR17" s="85">
        <f t="shared" si="4"/>
        <v>0</v>
      </c>
      <c r="DT17" s="85">
        <f t="shared" si="26"/>
        <v>126</v>
      </c>
      <c r="DU17" s="116" t="e">
        <f t="shared" si="5"/>
        <v>#VALUE!</v>
      </c>
      <c r="DV17" s="116" t="str">
        <f t="shared" si="6"/>
        <v/>
      </c>
      <c r="DW17" s="178"/>
      <c r="DX17" s="116">
        <v>7</v>
      </c>
      <c r="DY17" s="181" t="str">
        <f>IFERROR(IF(AI17&lt;日付!$C$15,IF(AI17="","",日付!$C$15),IF(DY16&lt;IF(AI17="",0,AI17),DY16,IF(AI17="","",AI17))),"")</f>
        <v/>
      </c>
      <c r="DZ17" s="184" t="str">
        <f t="shared" si="23"/>
        <v/>
      </c>
      <c r="EA17" s="182"/>
      <c r="EB17" s="1">
        <f t="shared" si="24"/>
        <v>0</v>
      </c>
      <c r="EC17" s="1">
        <f t="shared" si="25"/>
        <v>0</v>
      </c>
      <c r="ED17" s="1">
        <f t="shared" si="7"/>
        <v>0</v>
      </c>
      <c r="EE17" s="167">
        <f t="shared" si="8"/>
        <v>0</v>
      </c>
      <c r="EF17" s="1" t="str">
        <f>IF(AF17="","",DATEDIF(AF17,日付!$B$15,"Y"))</f>
        <v/>
      </c>
    </row>
    <row r="18" spans="2:136" ht="22.5" customHeight="1" thickBot="1" x14ac:dyDescent="0.25">
      <c r="B18" s="49" t="str">
        <f>IF($X$7&gt;=8,"⑧","")</f>
        <v/>
      </c>
      <c r="C18" s="213"/>
      <c r="D18" s="214"/>
      <c r="E18" s="214"/>
      <c r="F18" s="17" t="str">
        <f>IF($X$7&gt;=8,"円","")</f>
        <v/>
      </c>
      <c r="G18" s="213"/>
      <c r="H18" s="214"/>
      <c r="I18" s="214"/>
      <c r="J18" s="119" t="str">
        <f>IF($X$7&gt;=8,"円","")</f>
        <v/>
      </c>
      <c r="K18" s="236" t="str">
        <f>IF(G18="","",給与計算!C88)</f>
        <v/>
      </c>
      <c r="L18" s="237"/>
      <c r="M18" s="237"/>
      <c r="N18" s="151" t="str">
        <f>IF($X$7&gt;=8,"円","")</f>
        <v/>
      </c>
      <c r="O18" s="122"/>
      <c r="P18" s="213"/>
      <c r="Q18" s="214"/>
      <c r="R18" s="214"/>
      <c r="S18" s="153" t="str">
        <f>IF($X$7&gt;=8,"円","")</f>
        <v/>
      </c>
      <c r="T18" s="237" t="str">
        <f>年金計算!G106</f>
        <v/>
      </c>
      <c r="U18" s="237"/>
      <c r="V18" s="237"/>
      <c r="W18" s="155" t="str">
        <f>IF($X$7&gt;=8,"円","")</f>
        <v/>
      </c>
      <c r="X18" s="213"/>
      <c r="Y18" s="214"/>
      <c r="Z18" s="214"/>
      <c r="AA18" s="17" t="str">
        <f>IF($X$7&gt;=8,"円","")</f>
        <v/>
      </c>
      <c r="AB18" s="258">
        <f t="shared" si="0"/>
        <v>0</v>
      </c>
      <c r="AC18" s="259"/>
      <c r="AD18" s="259"/>
      <c r="AE18" s="17" t="str">
        <f>IF($X$7&gt;=8,"円","")</f>
        <v/>
      </c>
      <c r="AF18" s="247"/>
      <c r="AG18" s="359"/>
      <c r="AH18" s="172" t="str">
        <f>IF(AF18="","",DATEDIF(AF18,日付!$B$15,"Y"))</f>
        <v/>
      </c>
      <c r="AI18" s="247"/>
      <c r="AJ18" s="216"/>
      <c r="AK18" s="248"/>
      <c r="AL18" s="215"/>
      <c r="AM18" s="216"/>
      <c r="AN18" s="217"/>
      <c r="AO18" s="92" t="str">
        <f>IF($AL18&lt;日付!$B$2,"",IF($AI18&lt;日付!$B$2,IF(DD18&lt;&gt;"",DD18,IF($AI18&lt;日付!$B$2,"※","")),""))</f>
        <v/>
      </c>
      <c r="AP18" s="92" t="str">
        <f>IF($AL18&lt;日付!$B$3,"",IF($AI18&lt;日付!$B$3,IF(DE18&lt;&gt;"",DE18,IF($AI18&lt;日付!$B$3,"※","")),""))</f>
        <v/>
      </c>
      <c r="AQ18" s="92" t="str">
        <f>IF($AL18&lt;日付!$B$4,"",IF($AI18&lt;日付!$B$4,IF(DF18&lt;&gt;"",DF18,IF($AI18&lt;日付!$B$4,"※","")),""))</f>
        <v/>
      </c>
      <c r="AR18" s="92" t="str">
        <f>IF($AL18&lt;日付!$B$5,"",IF($AI18&lt;日付!$B$5,IF(DG18&lt;&gt;"",DG18,IF($AI18&lt;日付!$B$5,"※","")),""))</f>
        <v/>
      </c>
      <c r="AS18" s="92" t="str">
        <f>IF($AL18&lt;日付!$B$6,"",IF($AI18&lt;日付!$B$6,IF(DH18&lt;&gt;"",DH18,IF($AI18&lt;日付!$B$6,"※","")),""))</f>
        <v/>
      </c>
      <c r="AT18" s="92" t="str">
        <f>IF($AL18&lt;日付!$B$7,"",IF($AI18&lt;日付!$B$7,IF(DI18&lt;&gt;"",DI18,IF($AI18&lt;日付!$B$7,"※","")),""))</f>
        <v/>
      </c>
      <c r="AU18" s="92" t="str">
        <f>IF($AL18&lt;日付!$B$8,"",IF($AI18&lt;日付!$B$8,IF(DJ18&lt;&gt;"",DJ18,IF($AI18&lt;日付!$B$8,"※","")),""))</f>
        <v/>
      </c>
      <c r="AV18" s="92" t="str">
        <f>IF($AL18&lt;日付!$B$9,"",IF($AI18&lt;日付!$B$9,IF(DK18&lt;&gt;"",DK18,IF($AI18&lt;日付!$B$9,"※","")),""))</f>
        <v/>
      </c>
      <c r="AW18" s="92" t="str">
        <f>IF($AL18&lt;日付!$B$10,"",IF($AI18&lt;日付!$B$10,IF(DL18&lt;&gt;"",DL18,IF($AI18&lt;日付!$B$10,"※","")),""))</f>
        <v/>
      </c>
      <c r="AX18" s="92" t="str">
        <f>IF($AL18&lt;日付!$B$11,"",IF($AI18&lt;日付!$B$11,IF(DM18&lt;&gt;"",DM18,IF($AI18&lt;日付!$B$11,"※","")),""))</f>
        <v/>
      </c>
      <c r="AY18" s="92" t="str">
        <f>IF($AL18&lt;日付!$B$12,"",IF($AI18&lt;日付!$B$12,IF(DN18&lt;&gt;"",DN18,IF($AI18&lt;日付!$B$12,"※","")),""))</f>
        <v/>
      </c>
      <c r="AZ18" s="92" t="str">
        <f>IF($AL18&lt;日付!$B$13,"",IF($AI18&lt;日付!$B$13,IF(DO18&lt;&gt;"",DO18,IF($AI18&lt;日付!$B$13,"※","")),""))</f>
        <v/>
      </c>
      <c r="BA18" s="92" t="str">
        <f t="shared" si="9"/>
        <v/>
      </c>
      <c r="BB18" s="93" t="str">
        <f t="shared" si="10"/>
        <v/>
      </c>
      <c r="BC18" s="260" t="str">
        <f t="shared" si="1"/>
        <v/>
      </c>
      <c r="BD18" s="261"/>
      <c r="BE18" s="131"/>
      <c r="BI18" s="277"/>
      <c r="BJ18" s="278"/>
      <c r="BK18" s="278"/>
      <c r="BL18" s="280"/>
      <c r="BM18" s="280"/>
      <c r="BN18" s="280"/>
      <c r="BO18" s="280"/>
      <c r="BP18" s="280"/>
      <c r="BQ18" s="280"/>
      <c r="BR18" s="280"/>
      <c r="BS18" s="280"/>
      <c r="BT18" s="282"/>
      <c r="BU18" s="291"/>
      <c r="BV18" s="292"/>
      <c r="BW18" s="293"/>
      <c r="BX18" s="276"/>
      <c r="BY18" s="275"/>
      <c r="BZ18" s="275"/>
      <c r="CA18" s="275"/>
      <c r="CB18" s="275"/>
      <c r="CC18" s="275"/>
      <c r="CD18" s="275"/>
      <c r="CE18" s="275"/>
      <c r="CF18" s="275"/>
      <c r="CG18" s="275"/>
      <c r="CH18" s="275"/>
      <c r="CI18" s="275"/>
      <c r="CJ18" s="275"/>
      <c r="CQ18" s="84">
        <f>DATEDIF($AF18,日付!$B$2,"Y")</f>
        <v>126</v>
      </c>
      <c r="CR18" s="84">
        <f>DATEDIF($AF18,日付!$B$3,"Y")</f>
        <v>126</v>
      </c>
      <c r="CS18" s="84">
        <f>DATEDIF($AF18,日付!$B$4,"Y")</f>
        <v>126</v>
      </c>
      <c r="CT18" s="84">
        <f>DATEDIF($AF18,日付!$B$5,"Y")</f>
        <v>126</v>
      </c>
      <c r="CU18" s="84">
        <f>DATEDIF($AF18,日付!$B$6,"Y")</f>
        <v>126</v>
      </c>
      <c r="CV18" s="84">
        <f>DATEDIF($AF18,日付!$B$7,"Y")</f>
        <v>126</v>
      </c>
      <c r="CW18" s="84">
        <f>DATEDIF($AF18,日付!$B$8,"Y")</f>
        <v>126</v>
      </c>
      <c r="CX18" s="84">
        <f>DATEDIF($AF18,日付!$B$9,"Y")</f>
        <v>126</v>
      </c>
      <c r="CY18" s="84">
        <f>DATEDIF($AF18,日付!$B$10,"Y")</f>
        <v>127</v>
      </c>
      <c r="CZ18" s="84">
        <f>DATEDIF($AF18,日付!$B$11,"Y")</f>
        <v>127</v>
      </c>
      <c r="DA18" s="84">
        <f>DATEDIF($AF18,日付!$B$12,"Y")</f>
        <v>127</v>
      </c>
      <c r="DB18" s="84">
        <f>DATEDIF($AF18,日付!$B$13,"Y")</f>
        <v>127</v>
      </c>
      <c r="DD18" s="84" t="str">
        <f t="shared" si="11"/>
        <v/>
      </c>
      <c r="DE18" s="84" t="str">
        <f t="shared" si="12"/>
        <v/>
      </c>
      <c r="DF18" s="84" t="str">
        <f t="shared" si="13"/>
        <v/>
      </c>
      <c r="DG18" s="84" t="str">
        <f t="shared" si="14"/>
        <v/>
      </c>
      <c r="DH18" s="84" t="str">
        <f t="shared" si="15"/>
        <v/>
      </c>
      <c r="DI18" s="84" t="str">
        <f t="shared" si="16"/>
        <v/>
      </c>
      <c r="DJ18" s="84" t="str">
        <f t="shared" si="17"/>
        <v/>
      </c>
      <c r="DK18" s="84" t="str">
        <f t="shared" si="18"/>
        <v/>
      </c>
      <c r="DL18" s="84" t="str">
        <f t="shared" si="19"/>
        <v/>
      </c>
      <c r="DM18" s="84" t="str">
        <f t="shared" si="20"/>
        <v/>
      </c>
      <c r="DN18" s="84" t="str">
        <f t="shared" si="21"/>
        <v/>
      </c>
      <c r="DO18" s="84" t="str">
        <f t="shared" si="22"/>
        <v/>
      </c>
      <c r="DQ18" s="85">
        <f t="shared" si="3"/>
        <v>0</v>
      </c>
      <c r="DR18" s="85">
        <f t="shared" si="4"/>
        <v>0</v>
      </c>
      <c r="DT18" s="85">
        <f t="shared" si="26"/>
        <v>126</v>
      </c>
      <c r="DU18" s="116" t="e">
        <f t="shared" si="5"/>
        <v>#VALUE!</v>
      </c>
      <c r="DV18" s="116" t="str">
        <f t="shared" si="6"/>
        <v/>
      </c>
      <c r="DW18" s="178"/>
      <c r="DX18" s="116">
        <v>8</v>
      </c>
      <c r="DY18" s="181" t="str">
        <f>IFERROR(IF(AI18&lt;日付!$C$15,IF(AI18="","",日付!$C$15),IF(DY17&lt;IF(AI18="",0,AI18),DY17,IF(AI18="","",AI18))),"")</f>
        <v/>
      </c>
      <c r="DZ18" s="184" t="str">
        <f t="shared" si="23"/>
        <v/>
      </c>
      <c r="EA18" s="182"/>
      <c r="EB18" s="1">
        <f t="shared" si="24"/>
        <v>0</v>
      </c>
      <c r="EC18" s="1">
        <f t="shared" si="25"/>
        <v>0</v>
      </c>
      <c r="ED18" s="1">
        <f t="shared" si="7"/>
        <v>0</v>
      </c>
      <c r="EE18" s="167">
        <f t="shared" si="8"/>
        <v>0</v>
      </c>
      <c r="EF18" s="1" t="str">
        <f>IF(AF18="","",DATEDIF(AF18,日付!$B$15,"Y"))</f>
        <v/>
      </c>
    </row>
    <row r="19" spans="2:136" ht="22.5" customHeight="1" x14ac:dyDescent="0.2">
      <c r="B19" s="49" t="str">
        <f>IF($X$7&gt;=9,"⑨","")</f>
        <v/>
      </c>
      <c r="C19" s="213"/>
      <c r="D19" s="214"/>
      <c r="E19" s="214"/>
      <c r="F19" s="17" t="str">
        <f>IF($X$7&gt;=9,"円","")</f>
        <v/>
      </c>
      <c r="G19" s="213"/>
      <c r="H19" s="214"/>
      <c r="I19" s="214"/>
      <c r="J19" s="119" t="str">
        <f>IF($X$7&gt;=9,"円","")</f>
        <v/>
      </c>
      <c r="K19" s="236" t="str">
        <f>IF(G19="","",給与計算!C99)</f>
        <v/>
      </c>
      <c r="L19" s="237"/>
      <c r="M19" s="237"/>
      <c r="N19" s="151" t="str">
        <f>IF($X$7&gt;=9,"円","")</f>
        <v/>
      </c>
      <c r="O19" s="122"/>
      <c r="P19" s="213"/>
      <c r="Q19" s="214"/>
      <c r="R19" s="214"/>
      <c r="S19" s="153" t="str">
        <f>IF($X$7&gt;=9,"円","")</f>
        <v/>
      </c>
      <c r="T19" s="237" t="str">
        <f>年金計算!G121</f>
        <v/>
      </c>
      <c r="U19" s="237"/>
      <c r="V19" s="237"/>
      <c r="W19" s="155" t="str">
        <f>IF($X$7&gt;=9,"円","")</f>
        <v/>
      </c>
      <c r="X19" s="213"/>
      <c r="Y19" s="214"/>
      <c r="Z19" s="214"/>
      <c r="AA19" s="17" t="str">
        <f>IF($X$7&gt;=9,"円","")</f>
        <v/>
      </c>
      <c r="AB19" s="258">
        <f t="shared" si="0"/>
        <v>0</v>
      </c>
      <c r="AC19" s="259"/>
      <c r="AD19" s="259"/>
      <c r="AE19" s="17" t="str">
        <f>IF($X$7&gt;=9,"円","")</f>
        <v/>
      </c>
      <c r="AF19" s="247"/>
      <c r="AG19" s="359"/>
      <c r="AH19" s="172" t="str">
        <f>IF(AF19="","",DATEDIF(AF19,日付!$B$15,"Y"))</f>
        <v/>
      </c>
      <c r="AI19" s="247"/>
      <c r="AJ19" s="216"/>
      <c r="AK19" s="248"/>
      <c r="AL19" s="215"/>
      <c r="AM19" s="216"/>
      <c r="AN19" s="217"/>
      <c r="AO19" s="92" t="str">
        <f>IF($AL19&lt;日付!$B$2,"",IF($AI19&lt;日付!$B$2,IF(DD19&lt;&gt;"",DD19,IF($AI19&lt;日付!$B$2,"※","")),""))</f>
        <v/>
      </c>
      <c r="AP19" s="92" t="str">
        <f>IF($AL19&lt;日付!$B$3,"",IF($AI19&lt;日付!$B$3,IF(DE19&lt;&gt;"",DE19,IF($AI19&lt;日付!$B$3,"※","")),""))</f>
        <v/>
      </c>
      <c r="AQ19" s="92" t="str">
        <f>IF($AL19&lt;日付!$B$4,"",IF($AI19&lt;日付!$B$4,IF(DF19&lt;&gt;"",DF19,IF($AI19&lt;日付!$B$4,"※","")),""))</f>
        <v/>
      </c>
      <c r="AR19" s="92" t="str">
        <f>IF($AL19&lt;日付!$B$5,"",IF($AI19&lt;日付!$B$5,IF(DG19&lt;&gt;"",DG19,IF($AI19&lt;日付!$B$5,"※","")),""))</f>
        <v/>
      </c>
      <c r="AS19" s="92" t="str">
        <f>IF($AL19&lt;日付!$B$6,"",IF($AI19&lt;日付!$B$6,IF(DH19&lt;&gt;"",DH19,IF($AI19&lt;日付!$B$6,"※","")),""))</f>
        <v/>
      </c>
      <c r="AT19" s="92" t="str">
        <f>IF($AL19&lt;日付!$B$7,"",IF($AI19&lt;日付!$B$7,IF(DI19&lt;&gt;"",DI19,IF($AI19&lt;日付!$B$7,"※","")),""))</f>
        <v/>
      </c>
      <c r="AU19" s="92" t="str">
        <f>IF($AL19&lt;日付!$B$8,"",IF($AI19&lt;日付!$B$8,IF(DJ19&lt;&gt;"",DJ19,IF($AI19&lt;日付!$B$8,"※","")),""))</f>
        <v/>
      </c>
      <c r="AV19" s="92" t="str">
        <f>IF($AL19&lt;日付!$B$9,"",IF($AI19&lt;日付!$B$9,IF(DK19&lt;&gt;"",DK19,IF($AI19&lt;日付!$B$9,"※","")),""))</f>
        <v/>
      </c>
      <c r="AW19" s="92" t="str">
        <f>IF($AL19&lt;日付!$B$10,"",IF($AI19&lt;日付!$B$10,IF(DL19&lt;&gt;"",DL19,IF($AI19&lt;日付!$B$10,"※","")),""))</f>
        <v/>
      </c>
      <c r="AX19" s="92" t="str">
        <f>IF($AL19&lt;日付!$B$11,"",IF($AI19&lt;日付!$B$11,IF(DM19&lt;&gt;"",DM19,IF($AI19&lt;日付!$B$11,"※","")),""))</f>
        <v/>
      </c>
      <c r="AY19" s="92" t="str">
        <f>IF($AL19&lt;日付!$B$12,"",IF($AI19&lt;日付!$B$12,IF(DN19&lt;&gt;"",DN19,IF($AI19&lt;日付!$B$12,"※","")),""))</f>
        <v/>
      </c>
      <c r="AZ19" s="92" t="str">
        <f>IF($AL19&lt;日付!$B$13,"",IF($AI19&lt;日付!$B$13,IF(DO19&lt;&gt;"",DO19,IF($AI19&lt;日付!$B$13,"※","")),""))</f>
        <v/>
      </c>
      <c r="BA19" s="92" t="str">
        <f t="shared" si="9"/>
        <v/>
      </c>
      <c r="BB19" s="93" t="str">
        <f t="shared" si="10"/>
        <v/>
      </c>
      <c r="BC19" s="260" t="str">
        <f t="shared" si="1"/>
        <v/>
      </c>
      <c r="BD19" s="261"/>
      <c r="BE19" s="131"/>
      <c r="BI19" s="283" t="s">
        <v>52</v>
      </c>
      <c r="BJ19" s="283"/>
      <c r="BK19" s="283"/>
      <c r="BL19" s="284">
        <v>670000</v>
      </c>
      <c r="BM19" s="284"/>
      <c r="BN19" s="284"/>
      <c r="BO19" s="284">
        <v>260000</v>
      </c>
      <c r="BP19" s="284"/>
      <c r="BQ19" s="284"/>
      <c r="BR19" s="284">
        <v>170000</v>
      </c>
      <c r="BS19" s="284"/>
      <c r="BT19" s="285"/>
      <c r="BU19" s="285">
        <v>30000</v>
      </c>
      <c r="BV19" s="286"/>
      <c r="BW19" s="287"/>
      <c r="BX19" s="276" t="s">
        <v>53</v>
      </c>
      <c r="BY19" s="275"/>
      <c r="BZ19" s="275"/>
      <c r="CA19" s="275"/>
      <c r="CB19" s="275"/>
      <c r="CC19" s="275"/>
      <c r="CD19" s="275"/>
      <c r="CE19" s="275"/>
      <c r="CF19" s="275"/>
      <c r="CG19" s="275"/>
      <c r="CH19" s="275"/>
      <c r="CI19" s="275"/>
      <c r="CJ19" s="275"/>
      <c r="CQ19" s="84">
        <f>DATEDIF($AF19,日付!$B$2,"Y")</f>
        <v>126</v>
      </c>
      <c r="CR19" s="84">
        <f>DATEDIF($AF19,日付!$B$3,"Y")</f>
        <v>126</v>
      </c>
      <c r="CS19" s="84">
        <f>DATEDIF($AF19,日付!$B$4,"Y")</f>
        <v>126</v>
      </c>
      <c r="CT19" s="84">
        <f>DATEDIF($AF19,日付!$B$5,"Y")</f>
        <v>126</v>
      </c>
      <c r="CU19" s="84">
        <f>DATEDIF($AF19,日付!$B$6,"Y")</f>
        <v>126</v>
      </c>
      <c r="CV19" s="84">
        <f>DATEDIF($AF19,日付!$B$7,"Y")</f>
        <v>126</v>
      </c>
      <c r="CW19" s="84">
        <f>DATEDIF($AF19,日付!$B$8,"Y")</f>
        <v>126</v>
      </c>
      <c r="CX19" s="84">
        <f>DATEDIF($AF19,日付!$B$9,"Y")</f>
        <v>126</v>
      </c>
      <c r="CY19" s="84">
        <f>DATEDIF($AF19,日付!$B$10,"Y")</f>
        <v>127</v>
      </c>
      <c r="CZ19" s="84">
        <f>DATEDIF($AF19,日付!$B$11,"Y")</f>
        <v>127</v>
      </c>
      <c r="DA19" s="84">
        <f>DATEDIF($AF19,日付!$B$12,"Y")</f>
        <v>127</v>
      </c>
      <c r="DB19" s="84">
        <f>DATEDIF($AF19,日付!$B$13,"Y")</f>
        <v>127</v>
      </c>
      <c r="DD19" s="84" t="str">
        <f t="shared" si="11"/>
        <v/>
      </c>
      <c r="DE19" s="84" t="str">
        <f t="shared" si="12"/>
        <v/>
      </c>
      <c r="DF19" s="84" t="str">
        <f t="shared" si="13"/>
        <v/>
      </c>
      <c r="DG19" s="84" t="str">
        <f t="shared" si="14"/>
        <v/>
      </c>
      <c r="DH19" s="84" t="str">
        <f t="shared" si="15"/>
        <v/>
      </c>
      <c r="DI19" s="84" t="str">
        <f t="shared" si="16"/>
        <v/>
      </c>
      <c r="DJ19" s="84" t="str">
        <f t="shared" si="17"/>
        <v/>
      </c>
      <c r="DK19" s="84" t="str">
        <f t="shared" si="18"/>
        <v/>
      </c>
      <c r="DL19" s="84" t="str">
        <f t="shared" si="19"/>
        <v/>
      </c>
      <c r="DM19" s="84" t="str">
        <f t="shared" si="20"/>
        <v/>
      </c>
      <c r="DN19" s="84" t="str">
        <f t="shared" si="21"/>
        <v/>
      </c>
      <c r="DO19" s="84" t="str">
        <f t="shared" si="22"/>
        <v/>
      </c>
      <c r="DQ19" s="85">
        <f t="shared" si="3"/>
        <v>0</v>
      </c>
      <c r="DR19" s="85">
        <f t="shared" si="4"/>
        <v>0</v>
      </c>
      <c r="DT19" s="85">
        <f t="shared" si="26"/>
        <v>126</v>
      </c>
      <c r="DU19" s="116" t="e">
        <f t="shared" si="5"/>
        <v>#VALUE!</v>
      </c>
      <c r="DV19" s="116" t="str">
        <f t="shared" si="6"/>
        <v/>
      </c>
      <c r="DW19" s="178"/>
      <c r="DX19" s="116">
        <v>9</v>
      </c>
      <c r="DY19" s="181" t="str">
        <f>IFERROR(IF(AI19&lt;日付!$C$15,IF(AI19="","",日付!$C$15),IF(DY18&lt;IF(AI19="",0,AI19),DY18,IF(AI19="","",AI19))),"")</f>
        <v/>
      </c>
      <c r="DZ19" s="184" t="str">
        <f t="shared" si="23"/>
        <v/>
      </c>
      <c r="EA19" s="182"/>
      <c r="EB19" s="1">
        <f t="shared" si="24"/>
        <v>0</v>
      </c>
      <c r="EC19" s="1">
        <f t="shared" si="25"/>
        <v>0</v>
      </c>
      <c r="ED19" s="1">
        <f t="shared" si="7"/>
        <v>0</v>
      </c>
      <c r="EE19" s="167">
        <f t="shared" si="8"/>
        <v>0</v>
      </c>
      <c r="EF19" s="1" t="str">
        <f>IF(AF19="","",DATEDIF(AF19,日付!$B$15,"Y"))</f>
        <v/>
      </c>
    </row>
    <row r="20" spans="2:136" ht="22.5" customHeight="1" x14ac:dyDescent="0.2">
      <c r="B20" s="49" t="str">
        <f>IF($X$7&gt;=10,"⑩","")</f>
        <v/>
      </c>
      <c r="C20" s="213"/>
      <c r="D20" s="214"/>
      <c r="E20" s="214"/>
      <c r="F20" s="17" t="str">
        <f>IF($X$7&gt;=10,"円","")</f>
        <v/>
      </c>
      <c r="G20" s="213"/>
      <c r="H20" s="214"/>
      <c r="I20" s="214"/>
      <c r="J20" s="119" t="str">
        <f>IF($X$7&gt;=10,"円","")</f>
        <v/>
      </c>
      <c r="K20" s="236" t="str">
        <f>IF(G20="","",給与計算!C110)</f>
        <v/>
      </c>
      <c r="L20" s="237"/>
      <c r="M20" s="237"/>
      <c r="N20" s="151" t="str">
        <f>IF($X$7&gt;=10,"円","")</f>
        <v/>
      </c>
      <c r="O20" s="122"/>
      <c r="P20" s="213"/>
      <c r="Q20" s="214"/>
      <c r="R20" s="214"/>
      <c r="S20" s="153" t="str">
        <f>IF($X$7&gt;=10,"円","")</f>
        <v/>
      </c>
      <c r="T20" s="237" t="str">
        <f>年金計算!G136</f>
        <v/>
      </c>
      <c r="U20" s="237"/>
      <c r="V20" s="237"/>
      <c r="W20" s="155" t="str">
        <f>IF($X$7&gt;=10,"円","")</f>
        <v/>
      </c>
      <c r="X20" s="213"/>
      <c r="Y20" s="214"/>
      <c r="Z20" s="214"/>
      <c r="AA20" s="17" t="str">
        <f>IF($X$7&gt;=10,"円","")</f>
        <v/>
      </c>
      <c r="AB20" s="258">
        <f t="shared" si="0"/>
        <v>0</v>
      </c>
      <c r="AC20" s="259"/>
      <c r="AD20" s="259"/>
      <c r="AE20" s="17" t="str">
        <f>IF($X$7&gt;=10,"円","")</f>
        <v/>
      </c>
      <c r="AF20" s="247"/>
      <c r="AG20" s="359"/>
      <c r="AH20" s="172" t="str">
        <f>IF(AF20="","",DATEDIF(AF20,日付!$B$15,"Y"))</f>
        <v/>
      </c>
      <c r="AI20" s="247"/>
      <c r="AJ20" s="216"/>
      <c r="AK20" s="248"/>
      <c r="AL20" s="215"/>
      <c r="AM20" s="216"/>
      <c r="AN20" s="217"/>
      <c r="AO20" s="94" t="str">
        <f>IF($AL20&lt;日付!$B$2,"",IF($AI20&lt;日付!$B$2,IF(DD20&lt;&gt;"",DD20,IF($AI20&lt;日付!$B$2,"※","")),""))</f>
        <v/>
      </c>
      <c r="AP20" s="94" t="str">
        <f>IF($AL20&lt;日付!$B$3,"",IF($AI20&lt;日付!$B$3,IF(DE20&lt;&gt;"",DE20,IF($AI20&lt;日付!$B$3,"※","")),""))</f>
        <v/>
      </c>
      <c r="AQ20" s="94" t="str">
        <f>IF($AL20&lt;日付!$B$4,"",IF($AI20&lt;日付!$B$4,IF(DF20&lt;&gt;"",DF20,IF($AI20&lt;日付!$B$4,"※","")),""))</f>
        <v/>
      </c>
      <c r="AR20" s="94" t="str">
        <f>IF($AL20&lt;日付!$B$5,"",IF($AI20&lt;日付!$B$5,IF(DG20&lt;&gt;"",DG20,IF($AI20&lt;日付!$B$5,"※","")),""))</f>
        <v/>
      </c>
      <c r="AS20" s="94" t="str">
        <f>IF($AL20&lt;日付!$B$6,"",IF($AI20&lt;日付!$B$6,IF(DH20&lt;&gt;"",DH20,IF($AI20&lt;日付!$B$6,"※","")),""))</f>
        <v/>
      </c>
      <c r="AT20" s="94" t="str">
        <f>IF($AL20&lt;日付!$B$7,"",IF($AI20&lt;日付!$B$7,IF(DI20&lt;&gt;"",DI20,IF($AI20&lt;日付!$B$7,"※","")),""))</f>
        <v/>
      </c>
      <c r="AU20" s="94" t="str">
        <f>IF($AL20&lt;日付!$B$8,"",IF($AI20&lt;日付!$B$8,IF(DJ20&lt;&gt;"",DJ20,IF($AI20&lt;日付!$B$8,"※","")),""))</f>
        <v/>
      </c>
      <c r="AV20" s="94" t="str">
        <f>IF($AL20&lt;日付!$B$9,"",IF($AI20&lt;日付!$B$9,IF(DK20&lt;&gt;"",DK20,IF($AI20&lt;日付!$B$9,"※","")),""))</f>
        <v/>
      </c>
      <c r="AW20" s="94" t="str">
        <f>IF($AL20&lt;日付!$B$10,"",IF($AI20&lt;日付!$B$10,IF(DL20&lt;&gt;"",DL20,IF($AI20&lt;日付!$B$10,"※","")),""))</f>
        <v/>
      </c>
      <c r="AX20" s="94" t="str">
        <f>IF($AL20&lt;日付!$B$11,"",IF($AI20&lt;日付!$B$11,IF(DM20&lt;&gt;"",DM20,IF($AI20&lt;日付!$B$11,"※","")),""))</f>
        <v/>
      </c>
      <c r="AY20" s="94" t="str">
        <f>IF($AL20&lt;日付!$B$12,"",IF($AI20&lt;日付!$B$12,IF(DN20&lt;&gt;"",DN20,IF($AI20&lt;日付!$B$12,"※","")),""))</f>
        <v/>
      </c>
      <c r="AZ20" s="94" t="str">
        <f>IF($AL20&lt;日付!$B$13,"",IF($AI20&lt;日付!$B$13,IF(DO20&lt;&gt;"",DO20,IF($AI20&lt;日付!$B$13,"※","")),""))</f>
        <v/>
      </c>
      <c r="BA20" s="94" t="str">
        <f t="shared" si="9"/>
        <v/>
      </c>
      <c r="BB20" s="95" t="str">
        <f t="shared" si="10"/>
        <v/>
      </c>
      <c r="BC20" s="260" t="str">
        <f t="shared" si="1"/>
        <v/>
      </c>
      <c r="BD20" s="261"/>
      <c r="BE20" s="131"/>
      <c r="CQ20" s="84">
        <f>DATEDIF($AF20,日付!$B$2,"Y")</f>
        <v>126</v>
      </c>
      <c r="CR20" s="84">
        <f>DATEDIF($AF20,日付!$B$3,"Y")</f>
        <v>126</v>
      </c>
      <c r="CS20" s="84">
        <f>DATEDIF($AF20,日付!$B$4,"Y")</f>
        <v>126</v>
      </c>
      <c r="CT20" s="84">
        <f>DATEDIF($AF20,日付!$B$5,"Y")</f>
        <v>126</v>
      </c>
      <c r="CU20" s="84">
        <f>DATEDIF($AF20,日付!$B$6,"Y")</f>
        <v>126</v>
      </c>
      <c r="CV20" s="84">
        <f>DATEDIF($AF20,日付!$B$7,"Y")</f>
        <v>126</v>
      </c>
      <c r="CW20" s="84">
        <f>DATEDIF($AF20,日付!$B$8,"Y")</f>
        <v>126</v>
      </c>
      <c r="CX20" s="84">
        <f>DATEDIF($AF20,日付!$B$9,"Y")</f>
        <v>126</v>
      </c>
      <c r="CY20" s="84">
        <f>DATEDIF($AF20,日付!$B$10,"Y")</f>
        <v>127</v>
      </c>
      <c r="CZ20" s="84">
        <f>DATEDIF($AF20,日付!$B$11,"Y")</f>
        <v>127</v>
      </c>
      <c r="DA20" s="84">
        <f>DATEDIF($AF20,日付!$B$12,"Y")</f>
        <v>127</v>
      </c>
      <c r="DB20" s="84">
        <f>DATEDIF($AF20,日付!$B$13,"Y")</f>
        <v>127</v>
      </c>
      <c r="DD20" s="84" t="str">
        <f t="shared" si="11"/>
        <v/>
      </c>
      <c r="DE20" s="84" t="str">
        <f t="shared" si="12"/>
        <v/>
      </c>
      <c r="DF20" s="84" t="str">
        <f t="shared" si="13"/>
        <v/>
      </c>
      <c r="DG20" s="84" t="str">
        <f t="shared" si="14"/>
        <v/>
      </c>
      <c r="DH20" s="84" t="str">
        <f t="shared" si="15"/>
        <v/>
      </c>
      <c r="DI20" s="84" t="str">
        <f t="shared" si="16"/>
        <v/>
      </c>
      <c r="DJ20" s="84" t="str">
        <f t="shared" si="17"/>
        <v/>
      </c>
      <c r="DK20" s="84" t="str">
        <f t="shared" si="18"/>
        <v/>
      </c>
      <c r="DL20" s="84" t="str">
        <f t="shared" si="19"/>
        <v/>
      </c>
      <c r="DM20" s="84" t="str">
        <f t="shared" si="20"/>
        <v/>
      </c>
      <c r="DN20" s="84" t="str">
        <f t="shared" si="21"/>
        <v/>
      </c>
      <c r="DO20" s="84" t="str">
        <f t="shared" si="22"/>
        <v/>
      </c>
      <c r="DQ20" s="85">
        <f t="shared" si="3"/>
        <v>0</v>
      </c>
      <c r="DR20" s="85">
        <f t="shared" si="4"/>
        <v>0</v>
      </c>
      <c r="DT20" s="85">
        <f t="shared" si="26"/>
        <v>126</v>
      </c>
      <c r="DU20" s="116" t="e">
        <f t="shared" si="5"/>
        <v>#VALUE!</v>
      </c>
      <c r="DV20" s="116" t="str">
        <f t="shared" si="6"/>
        <v/>
      </c>
      <c r="DW20" s="178"/>
      <c r="DX20" s="116">
        <v>10</v>
      </c>
      <c r="DY20" s="181" t="str">
        <f>IFERROR(IF(AI20&lt;日付!$C$15,IF(AI20="","",日付!$C$15),IF(DY19&lt;IF(AI20="",0,AI20),DY19,IF(AI20="","",AI20))),"")</f>
        <v/>
      </c>
      <c r="DZ20" s="184" t="str">
        <f t="shared" si="23"/>
        <v/>
      </c>
      <c r="EA20" s="182"/>
      <c r="EB20" s="1">
        <f t="shared" si="24"/>
        <v>0</v>
      </c>
      <c r="EC20" s="1">
        <f t="shared" si="25"/>
        <v>0</v>
      </c>
      <c r="ED20" s="1">
        <f t="shared" si="7"/>
        <v>0</v>
      </c>
      <c r="EE20" s="167">
        <f t="shared" si="8"/>
        <v>0</v>
      </c>
      <c r="EF20" s="1" t="str">
        <f>IF(AF20="","",DATEDIF(AF20,日付!$B$15,"Y"))</f>
        <v/>
      </c>
    </row>
    <row r="21" spans="2:136" ht="22.5" customHeight="1" thickBot="1" x14ac:dyDescent="0.25">
      <c r="B21" s="32" t="s">
        <v>36</v>
      </c>
      <c r="C21" s="326">
        <v>450000</v>
      </c>
      <c r="D21" s="327"/>
      <c r="E21" s="327"/>
      <c r="F21" s="82" t="s">
        <v>1</v>
      </c>
      <c r="G21" s="252">
        <v>900000</v>
      </c>
      <c r="H21" s="253"/>
      <c r="I21" s="253"/>
      <c r="J21" s="156" t="s">
        <v>1</v>
      </c>
      <c r="K21" s="334">
        <v>350000</v>
      </c>
      <c r="L21" s="335"/>
      <c r="M21" s="335"/>
      <c r="N21" s="157" t="s">
        <v>1</v>
      </c>
      <c r="O21" s="158"/>
      <c r="P21" s="250">
        <v>1500000</v>
      </c>
      <c r="Q21" s="251"/>
      <c r="R21" s="251"/>
      <c r="S21" s="156" t="s">
        <v>1</v>
      </c>
      <c r="T21" s="332">
        <v>850000</v>
      </c>
      <c r="U21" s="253"/>
      <c r="V21" s="253"/>
      <c r="W21" s="159" t="s">
        <v>1</v>
      </c>
      <c r="X21" s="347">
        <v>650000</v>
      </c>
      <c r="Y21" s="348"/>
      <c r="Z21" s="348"/>
      <c r="AA21" s="159" t="s">
        <v>1</v>
      </c>
      <c r="AB21" s="355">
        <v>2200000</v>
      </c>
      <c r="AC21" s="253"/>
      <c r="AD21" s="253"/>
      <c r="AE21" s="82" t="s">
        <v>1</v>
      </c>
      <c r="AF21" s="360">
        <v>22859</v>
      </c>
      <c r="AG21" s="361"/>
      <c r="AH21" s="171">
        <f>IF(AF21="","",DATEDIF(AF21,日付!$B$15,"Y"))</f>
        <v>64</v>
      </c>
      <c r="AI21" s="333">
        <v>46113</v>
      </c>
      <c r="AJ21" s="255"/>
      <c r="AK21" s="256"/>
      <c r="AL21" s="254">
        <v>46478</v>
      </c>
      <c r="AM21" s="255"/>
      <c r="AN21" s="256"/>
      <c r="AO21" s="96" t="str">
        <f>IF($AL21&lt;日付!$B$2,"",IF($AI21&lt;日付!$B$2,IF(DD21&lt;&gt;"",DD21,IF($AI21&lt;日付!$B$2,"※","")),""))</f>
        <v>介</v>
      </c>
      <c r="AP21" s="96" t="str">
        <f>IF($AL21&lt;日付!$B$3,"",IF($AI21&lt;日付!$B$3,IF(DE21&lt;&gt;"",DE21,IF($AI21&lt;日付!$B$3,"※","")),""))</f>
        <v>介</v>
      </c>
      <c r="AQ21" s="96" t="str">
        <f>IF($AL21&lt;日付!$B$4,"",IF($AI21&lt;日付!$B$4,IF(DF21&lt;&gt;"",DF21,IF($AI21&lt;日付!$B$4,"※","")),""))</f>
        <v>介</v>
      </c>
      <c r="AR21" s="96" t="str">
        <f>IF($AL21&lt;日付!$B$5,"",IF($AI21&lt;日付!$B$5,IF(DG21&lt;&gt;"",DG21,IF($AI21&lt;日付!$B$5,"※","")),""))</f>
        <v>介</v>
      </c>
      <c r="AS21" s="96" t="str">
        <f>IF($AL21&lt;日付!$B$6,"",IF($AI21&lt;日付!$B$6,IF(DH21&lt;&gt;"",DH21,IF($AI21&lt;日付!$B$6,"※","")),""))</f>
        <v>介</v>
      </c>
      <c r="AT21" s="96" t="str">
        <f>IF($AL21&lt;日付!$B$7,"",IF($AI21&lt;日付!$B$7,IF(DI21&lt;&gt;"",DI21,IF($AI21&lt;日付!$B$7,"※","")),""))</f>
        <v>介</v>
      </c>
      <c r="AU21" s="96" t="str">
        <f>IF($AL21&lt;日付!$B$8,"",IF($AI21&lt;日付!$B$8,IF(DJ21&lt;&gt;"",DJ21,IF($AI21&lt;日付!$B$8,"※","")),""))</f>
        <v>介</v>
      </c>
      <c r="AV21" s="96" t="str">
        <f>IF($AL21&lt;日付!$B$9,"",IF($AI21&lt;日付!$B$9,IF(DK21&lt;&gt;"",DK21,IF($AI21&lt;日付!$B$9,"※","")),""))</f>
        <v>介</v>
      </c>
      <c r="AW21" s="96" t="str">
        <f>IF($AL21&lt;日付!$B$10,"",IF($AI21&lt;日付!$B$10,IF(DL21&lt;&gt;"",DL21,IF($AI21&lt;日付!$B$10,"※","")),""))</f>
        <v>介</v>
      </c>
      <c r="AX21" s="96" t="str">
        <f>IF($AL21&lt;日付!$B$11,"",IF($AI21&lt;日付!$B$11,IF(DM21&lt;&gt;"",DM21,IF($AI21&lt;日付!$B$11,"※","")),""))</f>
        <v>介</v>
      </c>
      <c r="AY21" s="96" t="str">
        <f>IF($AL21&lt;日付!$B$12,"",IF($AI21&lt;日付!$B$12,IF(DN21&lt;&gt;"",DN21,IF($AI21&lt;日付!$B$12,"※","")),""))</f>
        <v>介</v>
      </c>
      <c r="AZ21" s="96" t="str">
        <f>IF($AL21&lt;日付!$B$13,"",IF($AI21&lt;日付!$B$13,IF(DO21&lt;&gt;"",DO21,IF($AI21&lt;日付!$B$13,"※","")),""))</f>
        <v>介</v>
      </c>
      <c r="BA21" s="96">
        <f t="shared" si="9"/>
        <v>12</v>
      </c>
      <c r="BB21" s="97">
        <f t="shared" si="10"/>
        <v>12</v>
      </c>
      <c r="BC21" s="260" t="str">
        <f t="shared" si="1"/>
        <v>【介護該当】</v>
      </c>
      <c r="BD21" s="261"/>
      <c r="BG21" s="127" t="s">
        <v>37</v>
      </c>
      <c r="BH21" s="128" t="s">
        <v>54</v>
      </c>
      <c r="BI21" s="124"/>
      <c r="BJ21" s="124"/>
      <c r="BK21" s="124"/>
      <c r="CQ21" s="84">
        <f>DATEDIF($AF21,日付!$B$2,"Y")</f>
        <v>63</v>
      </c>
      <c r="CR21" s="84">
        <f>DATEDIF($AF21,日付!$B$3,"Y")</f>
        <v>63</v>
      </c>
      <c r="CS21" s="84">
        <f>DATEDIF($AF21,日付!$B$4,"Y")</f>
        <v>63</v>
      </c>
      <c r="CT21" s="84">
        <f>DATEDIF($AF21,日付!$B$5,"Y")</f>
        <v>64</v>
      </c>
      <c r="CU21" s="84">
        <f>DATEDIF($AF21,日付!$B$6,"Y")</f>
        <v>64</v>
      </c>
      <c r="CV21" s="84">
        <f>DATEDIF($AF21,日付!$B$7,"Y")</f>
        <v>64</v>
      </c>
      <c r="CW21" s="84">
        <f>DATEDIF($AF21,日付!$B$8,"Y")</f>
        <v>64</v>
      </c>
      <c r="CX21" s="84">
        <f>DATEDIF($AF21,日付!$B$9,"Y")</f>
        <v>64</v>
      </c>
      <c r="CY21" s="84">
        <f>DATEDIF($AF21,日付!$B$10,"Y")</f>
        <v>64</v>
      </c>
      <c r="CZ21" s="84">
        <f>DATEDIF($AF21,日付!$B$11,"Y")</f>
        <v>64</v>
      </c>
      <c r="DA21" s="84">
        <f>DATEDIF($AF21,日付!$B$12,"Y")</f>
        <v>64</v>
      </c>
      <c r="DB21" s="84">
        <f>DATEDIF($AF21,日付!$B$13,"Y")</f>
        <v>64</v>
      </c>
      <c r="DD21" s="84" t="str">
        <f t="shared" ref="DD21" si="27">IF(CQ21&gt;64,"",IF(CQ21&gt;39,"介",""))</f>
        <v>介</v>
      </c>
      <c r="DE21" s="84" t="str">
        <f t="shared" ref="DE21" si="28">IF(CR21&gt;64,"",IF(CR21&gt;39,"介",""))</f>
        <v>介</v>
      </c>
      <c r="DF21" s="84" t="str">
        <f t="shared" ref="DF21" si="29">IF(CS21&gt;64,"",IF(CS21&gt;39,"介",""))</f>
        <v>介</v>
      </c>
      <c r="DG21" s="84" t="str">
        <f t="shared" ref="DG21" si="30">IF(CT21&gt;64,"",IF(CT21&gt;39,"介",""))</f>
        <v>介</v>
      </c>
      <c r="DH21" s="84" t="str">
        <f t="shared" ref="DH21" si="31">IF(CU21&gt;64,"",IF(CU21&gt;39,"介",""))</f>
        <v>介</v>
      </c>
      <c r="DI21" s="84" t="str">
        <f t="shared" ref="DI21" si="32">IF(CV21&gt;64,"",IF(CV21&gt;39,"介",""))</f>
        <v>介</v>
      </c>
      <c r="DJ21" s="84" t="str">
        <f t="shared" ref="DJ21" si="33">IF(CW21&gt;64,"",IF(CW21&gt;39,"介",""))</f>
        <v>介</v>
      </c>
      <c r="DK21" s="84" t="str">
        <f t="shared" ref="DK21" si="34">IF(CX21&gt;64,"",IF(CX21&gt;39,"介",""))</f>
        <v>介</v>
      </c>
      <c r="DL21" s="84" t="str">
        <f t="shared" ref="DL21" si="35">IF(CY21&gt;64,"",IF(CY21&gt;39,"介",""))</f>
        <v>介</v>
      </c>
      <c r="DM21" s="84" t="str">
        <f t="shared" ref="DM21" si="36">IF(CZ21&gt;64,"",IF(CZ21&gt;39,"介",""))</f>
        <v>介</v>
      </c>
      <c r="DN21" s="84" t="str">
        <f t="shared" ref="DN21" si="37">IF(DA21&gt;64,"",IF(DA21&gt;39,"介",""))</f>
        <v>介</v>
      </c>
      <c r="DO21" s="84" t="str">
        <f t="shared" ref="DO21" si="38">IF(DB21&gt;64,"",IF(DB21&gt;39,"介",""))</f>
        <v>介</v>
      </c>
      <c r="DQ21" s="85">
        <f t="shared" si="3"/>
        <v>12</v>
      </c>
      <c r="DR21" s="85">
        <f t="shared" si="4"/>
        <v>12</v>
      </c>
      <c r="DT21" s="85">
        <f t="shared" si="26"/>
        <v>63</v>
      </c>
      <c r="DU21" s="116">
        <f t="shared" si="5"/>
        <v>850000</v>
      </c>
      <c r="DV21" s="116">
        <f t="shared" si="6"/>
        <v>2200000</v>
      </c>
      <c r="DW21" s="178"/>
      <c r="DX21" s="178"/>
      <c r="DY21" s="178"/>
      <c r="DZ21" s="178"/>
      <c r="EA21" s="178"/>
      <c r="EB21" s="5">
        <f>SUM(EB11:ED20)</f>
        <v>0</v>
      </c>
      <c r="EE21" s="167"/>
    </row>
    <row r="22" spans="2:136" ht="22.5" customHeight="1" x14ac:dyDescent="0.2">
      <c r="B22" s="9"/>
      <c r="C22" s="108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109" t="s">
        <v>126</v>
      </c>
      <c r="P22" s="149" t="s">
        <v>178</v>
      </c>
      <c r="Q22" s="109"/>
      <c r="R22" s="109"/>
      <c r="S22" s="109"/>
      <c r="T22" s="113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114" t="s">
        <v>130</v>
      </c>
      <c r="AM22" s="113" t="s">
        <v>200</v>
      </c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12"/>
      <c r="BE22" s="131"/>
      <c r="BG22" s="124"/>
      <c r="BH22" s="125" t="s">
        <v>39</v>
      </c>
      <c r="BI22" s="124" t="s">
        <v>55</v>
      </c>
      <c r="BJ22" s="124"/>
      <c r="BK22" s="124"/>
      <c r="DY22" s="186" t="s">
        <v>213</v>
      </c>
      <c r="DZ22" s="85" t="s">
        <v>216</v>
      </c>
    </row>
    <row r="23" spans="2:136" ht="22.5" customHeight="1" thickBot="1" x14ac:dyDescent="0.25">
      <c r="B23" s="9"/>
      <c r="C23" s="107" t="s">
        <v>193</v>
      </c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108" t="s">
        <v>129</v>
      </c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40"/>
      <c r="BD23" s="12"/>
      <c r="BG23" s="124"/>
      <c r="BH23" s="124"/>
      <c r="BI23" s="124" t="s">
        <v>56</v>
      </c>
      <c r="BJ23" s="124"/>
      <c r="BK23" s="124"/>
      <c r="DY23" s="180">
        <f>VLOOKUP(COUNT(DY11:DY20),DX11:DY20,2,FALSE)</f>
        <v>46113</v>
      </c>
      <c r="DZ23" s="183">
        <f>SUM(DZ11:DZ20)</f>
        <v>0</v>
      </c>
    </row>
    <row r="24" spans="2:136" ht="22.5" customHeight="1" x14ac:dyDescent="0.2">
      <c r="B24" s="9"/>
      <c r="C24" s="107" t="s">
        <v>191</v>
      </c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1"/>
      <c r="BD24" s="112"/>
      <c r="BI24" s="336" t="s">
        <v>57</v>
      </c>
      <c r="BJ24" s="336"/>
      <c r="BK24" s="336"/>
      <c r="BL24" s="336"/>
      <c r="BM24" s="336"/>
      <c r="BN24" s="336"/>
      <c r="BO24" s="336" t="s">
        <v>58</v>
      </c>
      <c r="BP24" s="271"/>
      <c r="BQ24" s="271"/>
      <c r="BR24" s="271"/>
      <c r="BS24" s="271"/>
      <c r="BT24" s="271"/>
      <c r="BU24" s="271"/>
      <c r="BV24" s="271"/>
      <c r="BW24" s="271"/>
      <c r="BX24" s="271"/>
      <c r="BY24" s="271"/>
      <c r="BZ24" s="271"/>
      <c r="CA24" s="337"/>
      <c r="CB24" s="338" t="s">
        <v>63</v>
      </c>
      <c r="CC24" s="339"/>
      <c r="CD24" s="339"/>
      <c r="CE24" s="339"/>
      <c r="CF24" s="339"/>
      <c r="CG24" s="339"/>
      <c r="CH24" s="339"/>
      <c r="CI24" s="339"/>
      <c r="CJ24" s="340"/>
    </row>
    <row r="25" spans="2:136" ht="22.5" customHeight="1" x14ac:dyDescent="0.2">
      <c r="B25" s="9"/>
      <c r="C25" s="107" t="s">
        <v>222</v>
      </c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1"/>
      <c r="BD25" s="112"/>
      <c r="BI25" s="270" t="s">
        <v>60</v>
      </c>
      <c r="BJ25" s="271"/>
      <c r="BK25" s="271"/>
      <c r="BL25" s="271"/>
      <c r="BM25" s="271"/>
      <c r="BN25" s="271"/>
      <c r="BO25" s="341" t="s">
        <v>176</v>
      </c>
      <c r="BP25" s="342"/>
      <c r="BQ25" s="342"/>
      <c r="BR25" s="342"/>
      <c r="BS25" s="342"/>
      <c r="BT25" s="342"/>
      <c r="BU25" s="342"/>
      <c r="BV25" s="342"/>
      <c r="BW25" s="342"/>
      <c r="BX25" s="342"/>
      <c r="BY25" s="342"/>
      <c r="BZ25" s="342"/>
      <c r="CA25" s="343"/>
      <c r="CB25" s="344">
        <f>430000+100000*(IF($EB$21=0,1,$EB$21)-1)</f>
        <v>430000</v>
      </c>
      <c r="CC25" s="345"/>
      <c r="CD25" s="345"/>
      <c r="CE25" s="345"/>
      <c r="CF25" s="345"/>
      <c r="CG25" s="345"/>
      <c r="CH25" s="345"/>
      <c r="CI25" s="345"/>
      <c r="CJ25" s="346"/>
      <c r="CK25" s="3"/>
    </row>
    <row r="26" spans="2:136" ht="22.5" customHeight="1" thickBot="1" x14ac:dyDescent="0.25">
      <c r="B26" s="13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5"/>
      <c r="BI26" s="270" t="s">
        <v>61</v>
      </c>
      <c r="BJ26" s="271"/>
      <c r="BK26" s="271"/>
      <c r="BL26" s="271"/>
      <c r="BM26" s="271"/>
      <c r="BN26" s="271"/>
      <c r="BO26" s="272" t="s">
        <v>223</v>
      </c>
      <c r="BP26" s="272"/>
      <c r="BQ26" s="272"/>
      <c r="BR26" s="272"/>
      <c r="BS26" s="272"/>
      <c r="BT26" s="272"/>
      <c r="BU26" s="272"/>
      <c r="BV26" s="272"/>
      <c r="BW26" s="272"/>
      <c r="BX26" s="272"/>
      <c r="BY26" s="272"/>
      <c r="BZ26" s="272"/>
      <c r="CA26" s="273"/>
      <c r="CB26" s="344">
        <f>IF($C$7="国保",430000+(310000*$DZ$23)+100000*(IF($EB$21=0,1,$EB$21)-1),430000+(310000*($DZ$23-1))+100000*(IF($EB$21=0,1,$EB$21)-1))</f>
        <v>120000</v>
      </c>
      <c r="CC26" s="345"/>
      <c r="CD26" s="345"/>
      <c r="CE26" s="345"/>
      <c r="CF26" s="345"/>
      <c r="CG26" s="345"/>
      <c r="CH26" s="345"/>
      <c r="CI26" s="345"/>
      <c r="CJ26" s="346"/>
      <c r="CK26" s="3"/>
    </row>
    <row r="27" spans="2:136" ht="22.5" customHeight="1" thickBot="1" x14ac:dyDescent="0.25"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  <c r="AZ27" s="130"/>
      <c r="BA27" s="130"/>
      <c r="BB27" s="130"/>
      <c r="BC27" s="130"/>
      <c r="BD27" s="130"/>
      <c r="BE27" s="130"/>
      <c r="BF27" s="38"/>
      <c r="BI27" s="270" t="s">
        <v>62</v>
      </c>
      <c r="BJ27" s="271"/>
      <c r="BK27" s="271"/>
      <c r="BL27" s="271"/>
      <c r="BM27" s="271"/>
      <c r="BN27" s="271"/>
      <c r="BO27" s="272" t="s">
        <v>224</v>
      </c>
      <c r="BP27" s="272"/>
      <c r="BQ27" s="272"/>
      <c r="BR27" s="272"/>
      <c r="BS27" s="272"/>
      <c r="BT27" s="272"/>
      <c r="BU27" s="272"/>
      <c r="BV27" s="272"/>
      <c r="BW27" s="272"/>
      <c r="BX27" s="272"/>
      <c r="BY27" s="272"/>
      <c r="BZ27" s="272"/>
      <c r="CA27" s="273"/>
      <c r="CB27" s="329">
        <f>IF($C$7="国保",430000+(570000*$DZ$23)+100000*(IF($EB$21=0,1,$EB$21)-1),430000+(570000*($DZ$23-1)+100000*(IF($EB$21=0,1,$EB$21)-1)))</f>
        <v>-140000</v>
      </c>
      <c r="CC27" s="330"/>
      <c r="CD27" s="330"/>
      <c r="CE27" s="330"/>
      <c r="CF27" s="330"/>
      <c r="CG27" s="330"/>
      <c r="CH27" s="330"/>
      <c r="CI27" s="330"/>
      <c r="CJ27" s="331"/>
      <c r="CK27" s="3"/>
    </row>
    <row r="28" spans="2:136" ht="22.5" customHeight="1" thickBot="1" x14ac:dyDescent="0.25">
      <c r="B28" s="352" t="s">
        <v>6</v>
      </c>
      <c r="C28" s="353"/>
      <c r="D28" s="353"/>
      <c r="E28" s="353"/>
      <c r="F28" s="353"/>
      <c r="G28" s="353"/>
      <c r="H28" s="353"/>
      <c r="I28" s="354"/>
      <c r="T28" s="3"/>
      <c r="U28" s="3"/>
      <c r="V28" s="3"/>
      <c r="W28" s="6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8"/>
      <c r="AJ28" s="187"/>
      <c r="AK28" s="392"/>
      <c r="AL28" s="392"/>
      <c r="AM28" s="392" t="s">
        <v>121</v>
      </c>
      <c r="AN28" s="392"/>
      <c r="AO28" s="392" t="s">
        <v>122</v>
      </c>
      <c r="AP28" s="392"/>
      <c r="AQ28" s="392" t="s">
        <v>123</v>
      </c>
      <c r="AR28" s="392"/>
      <c r="AS28" s="393" t="s">
        <v>207</v>
      </c>
      <c r="AT28" s="393"/>
      <c r="AU28" s="132"/>
      <c r="AV28" s="132"/>
      <c r="AW28" s="392" t="s">
        <v>121</v>
      </c>
      <c r="AX28" s="392"/>
      <c r="AY28" s="392" t="s">
        <v>122</v>
      </c>
      <c r="AZ28" s="392"/>
      <c r="BA28" s="392" t="s">
        <v>123</v>
      </c>
      <c r="BB28" s="392"/>
      <c r="BC28" s="393" t="s">
        <v>207</v>
      </c>
      <c r="BD28" s="393"/>
      <c r="BE28" s="132"/>
      <c r="BI28" s="126" t="s">
        <v>59</v>
      </c>
      <c r="BJ28" s="34"/>
      <c r="BK28" s="34"/>
      <c r="BL28" s="34"/>
      <c r="BM28" s="34"/>
      <c r="BN28" s="34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6"/>
      <c r="CC28" s="36"/>
      <c r="CD28" s="36"/>
      <c r="CE28" s="36"/>
      <c r="CF28" s="36"/>
      <c r="CG28" s="36"/>
      <c r="CH28" s="36"/>
      <c r="CI28" s="36"/>
      <c r="CJ28" s="36"/>
      <c r="CK28" s="4"/>
    </row>
    <row r="29" spans="2:136" ht="22.5" customHeight="1" thickBot="1" x14ac:dyDescent="0.25">
      <c r="B29" s="5" t="s">
        <v>7</v>
      </c>
      <c r="T29" s="3"/>
      <c r="U29" s="3"/>
      <c r="V29" s="3"/>
      <c r="W29" s="41"/>
      <c r="X29" s="10"/>
      <c r="Y29" s="42"/>
      <c r="Z29" s="42"/>
      <c r="AA29" s="352" t="s">
        <v>65</v>
      </c>
      <c r="AB29" s="353"/>
      <c r="AC29" s="353"/>
      <c r="AD29" s="353"/>
      <c r="AE29" s="353"/>
      <c r="AF29" s="354"/>
      <c r="AG29" s="42"/>
      <c r="AH29" s="42"/>
      <c r="AI29" s="78"/>
      <c r="AJ29" s="187"/>
      <c r="AK29" s="392" t="str">
        <f>個人明細!H3</f>
        <v>①</v>
      </c>
      <c r="AL29" s="392"/>
      <c r="AM29" s="394">
        <f>個人明細!I3</f>
        <v>0</v>
      </c>
      <c r="AN29" s="394"/>
      <c r="AO29" s="394">
        <f>個人明細!J3</f>
        <v>0</v>
      </c>
      <c r="AP29" s="394"/>
      <c r="AQ29" s="394">
        <f>個人明細!K3</f>
        <v>0</v>
      </c>
      <c r="AR29" s="394"/>
      <c r="AS29" s="395">
        <f>個人明細!L3</f>
        <v>0</v>
      </c>
      <c r="AT29" s="395"/>
      <c r="AU29" s="132"/>
      <c r="AV29" s="396"/>
      <c r="AW29" s="394">
        <f t="shared" ref="AW29:AW38" si="39">AM29*$DQ11/12</f>
        <v>0</v>
      </c>
      <c r="AX29" s="394"/>
      <c r="AY29" s="394">
        <f t="shared" ref="AY29:AY38" si="40">AO29*$DQ11/12</f>
        <v>0</v>
      </c>
      <c r="AZ29" s="394"/>
      <c r="BA29" s="394">
        <f t="shared" ref="BA29:BA38" si="41">AQ29*DR11/12</f>
        <v>0</v>
      </c>
      <c r="BB29" s="394"/>
      <c r="BC29" s="397">
        <f t="shared" ref="BC29:BC38" si="42">AS29*DQ11/12</f>
        <v>0</v>
      </c>
      <c r="BD29" s="397"/>
      <c r="BE29" s="132"/>
      <c r="BG29" s="33"/>
      <c r="BH29" s="33"/>
      <c r="BI29" s="126" t="s">
        <v>138</v>
      </c>
      <c r="BJ29" s="34"/>
      <c r="BK29" s="34"/>
      <c r="BL29" s="34"/>
      <c r="BM29" s="34"/>
      <c r="BN29" s="34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6"/>
      <c r="CC29" s="36"/>
      <c r="CD29" s="36"/>
      <c r="CE29" s="36"/>
      <c r="CF29" s="36"/>
      <c r="CG29" s="36"/>
      <c r="CH29" s="36"/>
      <c r="CI29" s="36"/>
      <c r="CJ29" s="36"/>
      <c r="CK29" s="37"/>
    </row>
    <row r="30" spans="2:136" ht="22.5" customHeight="1" x14ac:dyDescent="0.2">
      <c r="B30" s="5" t="s">
        <v>8</v>
      </c>
      <c r="T30" s="4"/>
      <c r="U30" s="4"/>
      <c r="V30" s="4"/>
      <c r="W30" s="41"/>
      <c r="X30" s="10"/>
      <c r="Y30" s="42"/>
      <c r="Z30" s="42"/>
      <c r="AA30" s="43"/>
      <c r="AB30" s="43"/>
      <c r="AC30" s="43"/>
      <c r="AD30" s="43"/>
      <c r="AE30" s="43"/>
      <c r="AF30" s="43"/>
      <c r="AG30" s="42"/>
      <c r="AH30" s="42"/>
      <c r="AI30" s="78"/>
      <c r="AJ30" s="187"/>
      <c r="AK30" s="392" t="str">
        <f>個人明細!H4</f>
        <v>②</v>
      </c>
      <c r="AL30" s="392"/>
      <c r="AM30" s="394">
        <f>個人明細!I4</f>
        <v>0</v>
      </c>
      <c r="AN30" s="394"/>
      <c r="AO30" s="394">
        <f>個人明細!J4</f>
        <v>0</v>
      </c>
      <c r="AP30" s="394"/>
      <c r="AQ30" s="394">
        <f>個人明細!K4</f>
        <v>0</v>
      </c>
      <c r="AR30" s="394"/>
      <c r="AS30" s="395">
        <f>個人明細!L4</f>
        <v>0</v>
      </c>
      <c r="AT30" s="395"/>
      <c r="AU30" s="396"/>
      <c r="AV30" s="396"/>
      <c r="AW30" s="394">
        <f t="shared" si="39"/>
        <v>0</v>
      </c>
      <c r="AX30" s="394"/>
      <c r="AY30" s="394">
        <f t="shared" si="40"/>
        <v>0</v>
      </c>
      <c r="AZ30" s="394"/>
      <c r="BA30" s="394">
        <f t="shared" si="41"/>
        <v>0</v>
      </c>
      <c r="BB30" s="394"/>
      <c r="BC30" s="397">
        <f t="shared" si="42"/>
        <v>0</v>
      </c>
      <c r="BD30" s="397"/>
      <c r="BE30" s="132"/>
      <c r="BG30" s="33"/>
      <c r="BH30" s="33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CK30" s="37"/>
      <c r="CO30" s="33"/>
    </row>
    <row r="31" spans="2:136" ht="22.5" customHeight="1" thickBot="1" x14ac:dyDescent="0.25">
      <c r="B31" s="5" t="s">
        <v>9</v>
      </c>
      <c r="T31" s="4"/>
      <c r="U31" s="4"/>
      <c r="V31" s="4"/>
      <c r="W31" s="41"/>
      <c r="X31" s="189" t="s">
        <v>66</v>
      </c>
      <c r="Y31" s="189"/>
      <c r="Z31" s="189"/>
      <c r="AA31" s="189"/>
      <c r="AB31" s="189"/>
      <c r="AC31" s="189"/>
      <c r="AD31" s="189"/>
      <c r="AE31" s="189"/>
      <c r="AF31" s="189"/>
      <c r="AG31" s="189"/>
      <c r="AH31" s="189"/>
      <c r="AI31" s="78"/>
      <c r="AJ31" s="187"/>
      <c r="AK31" s="392" t="str">
        <f>個人明細!H5</f>
        <v>③</v>
      </c>
      <c r="AL31" s="392"/>
      <c r="AM31" s="394">
        <f>個人明細!I5</f>
        <v>0</v>
      </c>
      <c r="AN31" s="394"/>
      <c r="AO31" s="394">
        <f>個人明細!J5</f>
        <v>0</v>
      </c>
      <c r="AP31" s="394"/>
      <c r="AQ31" s="394">
        <f>個人明細!K5</f>
        <v>0</v>
      </c>
      <c r="AR31" s="394"/>
      <c r="AS31" s="395">
        <f>個人明細!L5</f>
        <v>0</v>
      </c>
      <c r="AT31" s="395"/>
      <c r="AU31" s="396"/>
      <c r="AV31" s="396"/>
      <c r="AW31" s="394">
        <f t="shared" si="39"/>
        <v>0</v>
      </c>
      <c r="AX31" s="394"/>
      <c r="AY31" s="394">
        <f t="shared" si="40"/>
        <v>0</v>
      </c>
      <c r="AZ31" s="394"/>
      <c r="BA31" s="394">
        <f t="shared" si="41"/>
        <v>0</v>
      </c>
      <c r="BB31" s="394"/>
      <c r="BC31" s="397">
        <f t="shared" si="42"/>
        <v>0</v>
      </c>
      <c r="BD31" s="397"/>
      <c r="BE31" s="132"/>
      <c r="BG31" s="38"/>
      <c r="BH31" s="38"/>
      <c r="BI31" s="194" t="s">
        <v>67</v>
      </c>
      <c r="BJ31" s="195"/>
      <c r="BK31" s="195"/>
      <c r="BL31" s="195"/>
    </row>
    <row r="32" spans="2:136" ht="22.5" customHeight="1" x14ac:dyDescent="0.2">
      <c r="B32" s="5" t="s">
        <v>134</v>
      </c>
      <c r="T32" s="4"/>
      <c r="U32" s="4"/>
      <c r="V32" s="4"/>
      <c r="W32" s="44"/>
      <c r="X32" s="190" t="str">
        <f>TRIM(BN32)</f>
        <v>適用なし</v>
      </c>
      <c r="Y32" s="190"/>
      <c r="Z32" s="190"/>
      <c r="AA32" s="190"/>
      <c r="AB32" s="190"/>
      <c r="AC32" s="190"/>
      <c r="AD32" s="190"/>
      <c r="AE32" s="190"/>
      <c r="AF32" s="190"/>
      <c r="AG32" s="190"/>
      <c r="AH32" s="190"/>
      <c r="AI32" s="78"/>
      <c r="AJ32" s="187"/>
      <c r="AK32" s="392" t="str">
        <f>個人明細!H6</f>
        <v>④</v>
      </c>
      <c r="AL32" s="392"/>
      <c r="AM32" s="394">
        <f>個人明細!I6</f>
        <v>0</v>
      </c>
      <c r="AN32" s="394"/>
      <c r="AO32" s="394">
        <f>個人明細!J6</f>
        <v>0</v>
      </c>
      <c r="AP32" s="394"/>
      <c r="AQ32" s="394">
        <f>個人明細!K6</f>
        <v>0</v>
      </c>
      <c r="AR32" s="394"/>
      <c r="AS32" s="395">
        <f>個人明細!L6</f>
        <v>0</v>
      </c>
      <c r="AT32" s="395"/>
      <c r="AU32" s="398"/>
      <c r="AV32" s="399"/>
      <c r="AW32" s="394">
        <f t="shared" si="39"/>
        <v>0</v>
      </c>
      <c r="AX32" s="394"/>
      <c r="AY32" s="394">
        <f t="shared" si="40"/>
        <v>0</v>
      </c>
      <c r="AZ32" s="394"/>
      <c r="BA32" s="394">
        <f t="shared" si="41"/>
        <v>0</v>
      </c>
      <c r="BB32" s="394"/>
      <c r="BC32" s="397">
        <f t="shared" si="42"/>
        <v>0</v>
      </c>
      <c r="BD32" s="397"/>
      <c r="BE32" s="132"/>
      <c r="BI32" s="195"/>
      <c r="BJ32" s="195"/>
      <c r="BK32" s="195"/>
      <c r="BL32" s="195"/>
      <c r="BN32" s="196" t="str">
        <f>IF(CB25&gt;=BI33,BI25,IF(CB26&gt;=BI33,BI26,IF(CB27&gt;=BI33,BI27,"適用なし")))</f>
        <v>適用なし</v>
      </c>
      <c r="BO32" s="197"/>
      <c r="BP32" s="197"/>
      <c r="BQ32" s="197"/>
      <c r="BR32" s="198"/>
    </row>
    <row r="33" spans="2:70" ht="22.5" customHeight="1" thickBot="1" x14ac:dyDescent="0.25">
      <c r="B33" s="5" t="s">
        <v>135</v>
      </c>
      <c r="T33" s="4"/>
      <c r="U33" s="4"/>
      <c r="V33" s="4"/>
      <c r="W33" s="44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78"/>
      <c r="AJ33" s="187"/>
      <c r="AK33" s="392" t="str">
        <f>個人明細!H7</f>
        <v>⑤</v>
      </c>
      <c r="AL33" s="392"/>
      <c r="AM33" s="394">
        <f>個人明細!I7</f>
        <v>0</v>
      </c>
      <c r="AN33" s="394"/>
      <c r="AO33" s="394">
        <f>個人明細!J7</f>
        <v>0</v>
      </c>
      <c r="AP33" s="394"/>
      <c r="AQ33" s="394">
        <f>個人明細!K7</f>
        <v>0</v>
      </c>
      <c r="AR33" s="394"/>
      <c r="AS33" s="395">
        <f>個人明細!L7</f>
        <v>0</v>
      </c>
      <c r="AT33" s="395"/>
      <c r="AU33" s="396"/>
      <c r="AV33" s="396"/>
      <c r="AW33" s="394">
        <f t="shared" si="39"/>
        <v>0</v>
      </c>
      <c r="AX33" s="394"/>
      <c r="AY33" s="394">
        <f t="shared" si="40"/>
        <v>0</v>
      </c>
      <c r="AZ33" s="394"/>
      <c r="BA33" s="394">
        <f t="shared" si="41"/>
        <v>0</v>
      </c>
      <c r="BB33" s="394"/>
      <c r="BC33" s="397">
        <f t="shared" si="42"/>
        <v>0</v>
      </c>
      <c r="BD33" s="397"/>
      <c r="BE33" s="132"/>
      <c r="BI33" s="269" t="str">
        <f>IF(B11="","",IF(SUM(DV11:DV20)=0,0,SUM(DV11:DV20)))</f>
        <v/>
      </c>
      <c r="BJ33" s="269"/>
      <c r="BK33" s="269"/>
      <c r="BL33" s="269"/>
      <c r="BN33" s="199"/>
      <c r="BO33" s="200"/>
      <c r="BP33" s="200"/>
      <c r="BQ33" s="200"/>
      <c r="BR33" s="201"/>
    </row>
    <row r="34" spans="2:70" ht="22.5" customHeight="1" x14ac:dyDescent="0.2">
      <c r="B34" s="5" t="s">
        <v>217</v>
      </c>
      <c r="W34" s="44"/>
      <c r="X34" s="191" t="s">
        <v>83</v>
      </c>
      <c r="Y34" s="191"/>
      <c r="Z34" s="191"/>
      <c r="AA34" s="191"/>
      <c r="AB34" s="349" t="s">
        <v>45</v>
      </c>
      <c r="AC34" s="350"/>
      <c r="AD34" s="350"/>
      <c r="AE34" s="350"/>
      <c r="AF34" s="191" t="s">
        <v>127</v>
      </c>
      <c r="AG34" s="191"/>
      <c r="AH34" s="191" t="s">
        <v>211</v>
      </c>
      <c r="AI34" s="78"/>
      <c r="AJ34" s="187"/>
      <c r="AK34" s="392" t="str">
        <f>個人明細!H8</f>
        <v>⑥</v>
      </c>
      <c r="AL34" s="392"/>
      <c r="AM34" s="394">
        <f>個人明細!I8</f>
        <v>0</v>
      </c>
      <c r="AN34" s="394"/>
      <c r="AO34" s="394">
        <f>個人明細!J8</f>
        <v>0</v>
      </c>
      <c r="AP34" s="394"/>
      <c r="AQ34" s="394">
        <f>個人明細!K8</f>
        <v>0</v>
      </c>
      <c r="AR34" s="394"/>
      <c r="AS34" s="395">
        <f>個人明細!L8</f>
        <v>0</v>
      </c>
      <c r="AT34" s="395"/>
      <c r="AU34" s="396"/>
      <c r="AV34" s="396"/>
      <c r="AW34" s="394">
        <f t="shared" si="39"/>
        <v>0</v>
      </c>
      <c r="AX34" s="394"/>
      <c r="AY34" s="394">
        <f t="shared" si="40"/>
        <v>0</v>
      </c>
      <c r="AZ34" s="394"/>
      <c r="BA34" s="394">
        <f t="shared" si="41"/>
        <v>0</v>
      </c>
      <c r="BB34" s="394"/>
      <c r="BC34" s="397">
        <f t="shared" si="42"/>
        <v>0</v>
      </c>
      <c r="BD34" s="397"/>
      <c r="BE34" s="132"/>
    </row>
    <row r="35" spans="2:70" ht="22.5" customHeight="1" x14ac:dyDescent="0.2">
      <c r="B35" s="5" t="s">
        <v>218</v>
      </c>
      <c r="W35" s="44"/>
      <c r="X35" s="191"/>
      <c r="Y35" s="191"/>
      <c r="Z35" s="191"/>
      <c r="AA35" s="191"/>
      <c r="AB35" s="350"/>
      <c r="AC35" s="350"/>
      <c r="AD35" s="350"/>
      <c r="AE35" s="350"/>
      <c r="AF35" s="191"/>
      <c r="AG35" s="191"/>
      <c r="AH35" s="191"/>
      <c r="AI35" s="78"/>
      <c r="AJ35" s="187"/>
      <c r="AK35" s="392" t="str">
        <f>個人明細!H9</f>
        <v>⑦</v>
      </c>
      <c r="AL35" s="392"/>
      <c r="AM35" s="394">
        <f>個人明細!I9</f>
        <v>0</v>
      </c>
      <c r="AN35" s="394"/>
      <c r="AO35" s="394">
        <f>個人明細!J9</f>
        <v>0</v>
      </c>
      <c r="AP35" s="394"/>
      <c r="AQ35" s="394">
        <f>個人明細!K9</f>
        <v>0</v>
      </c>
      <c r="AR35" s="394"/>
      <c r="AS35" s="395">
        <f>個人明細!L9</f>
        <v>0</v>
      </c>
      <c r="AT35" s="395"/>
      <c r="AU35" s="396"/>
      <c r="AV35" s="396"/>
      <c r="AW35" s="394">
        <f t="shared" si="39"/>
        <v>0</v>
      </c>
      <c r="AX35" s="394"/>
      <c r="AY35" s="394">
        <f t="shared" si="40"/>
        <v>0</v>
      </c>
      <c r="AZ35" s="394"/>
      <c r="BA35" s="394">
        <f t="shared" si="41"/>
        <v>0</v>
      </c>
      <c r="BB35" s="394"/>
      <c r="BC35" s="397">
        <f t="shared" si="42"/>
        <v>0</v>
      </c>
      <c r="BD35" s="397"/>
      <c r="BE35" s="132"/>
    </row>
    <row r="36" spans="2:70" ht="22.5" customHeight="1" x14ac:dyDescent="0.2">
      <c r="B36" s="5"/>
      <c r="W36" s="9"/>
      <c r="X36" s="351">
        <f>IF(AW41&gt;BL19,BL19,AW41)</f>
        <v>0</v>
      </c>
      <c r="Y36" s="351"/>
      <c r="Z36" s="351"/>
      <c r="AA36" s="351"/>
      <c r="AB36" s="351">
        <f>IF(AY41&gt;BO19,BO19,AY41)</f>
        <v>0</v>
      </c>
      <c r="AC36" s="351"/>
      <c r="AD36" s="351"/>
      <c r="AE36" s="351"/>
      <c r="AF36" s="192">
        <f>IF(BA41&gt;BR19,BR19,BA41)</f>
        <v>0</v>
      </c>
      <c r="AG36" s="192"/>
      <c r="AH36" s="192">
        <f>IF(BC41&gt;BU19,BU19,BC41)</f>
        <v>0</v>
      </c>
      <c r="AI36" s="78"/>
      <c r="AJ36" s="187"/>
      <c r="AK36" s="392" t="str">
        <f>個人明細!H10</f>
        <v>⑧</v>
      </c>
      <c r="AL36" s="392"/>
      <c r="AM36" s="394">
        <f>個人明細!I10</f>
        <v>0</v>
      </c>
      <c r="AN36" s="394"/>
      <c r="AO36" s="394">
        <f>個人明細!J10</f>
        <v>0</v>
      </c>
      <c r="AP36" s="394"/>
      <c r="AQ36" s="394">
        <f>個人明細!K10</f>
        <v>0</v>
      </c>
      <c r="AR36" s="394"/>
      <c r="AS36" s="395">
        <f>個人明細!L10</f>
        <v>0</v>
      </c>
      <c r="AT36" s="395"/>
      <c r="AU36" s="396"/>
      <c r="AV36" s="396"/>
      <c r="AW36" s="394">
        <f t="shared" si="39"/>
        <v>0</v>
      </c>
      <c r="AX36" s="394"/>
      <c r="AY36" s="394">
        <f t="shared" si="40"/>
        <v>0</v>
      </c>
      <c r="AZ36" s="394"/>
      <c r="BA36" s="394">
        <f t="shared" si="41"/>
        <v>0</v>
      </c>
      <c r="BB36" s="394"/>
      <c r="BC36" s="397">
        <f t="shared" si="42"/>
        <v>0</v>
      </c>
      <c r="BD36" s="397"/>
      <c r="BE36" s="132"/>
    </row>
    <row r="37" spans="2:70" ht="22.5" customHeight="1" x14ac:dyDescent="0.2">
      <c r="W37" s="9"/>
      <c r="X37" s="351"/>
      <c r="Y37" s="351"/>
      <c r="Z37" s="351"/>
      <c r="AA37" s="351"/>
      <c r="AB37" s="351"/>
      <c r="AC37" s="351"/>
      <c r="AD37" s="351"/>
      <c r="AE37" s="351"/>
      <c r="AF37" s="192"/>
      <c r="AG37" s="192"/>
      <c r="AH37" s="192"/>
      <c r="AI37" s="78"/>
      <c r="AJ37" s="187"/>
      <c r="AK37" s="392" t="str">
        <f>個人明細!H11</f>
        <v>⑨</v>
      </c>
      <c r="AL37" s="392"/>
      <c r="AM37" s="394">
        <f>個人明細!I11</f>
        <v>0</v>
      </c>
      <c r="AN37" s="394"/>
      <c r="AO37" s="394">
        <f>個人明細!J11</f>
        <v>0</v>
      </c>
      <c r="AP37" s="394"/>
      <c r="AQ37" s="394">
        <f>個人明細!K11</f>
        <v>0</v>
      </c>
      <c r="AR37" s="394"/>
      <c r="AS37" s="395">
        <f>個人明細!L11</f>
        <v>0</v>
      </c>
      <c r="AT37" s="395"/>
      <c r="AU37" s="396"/>
      <c r="AV37" s="396"/>
      <c r="AW37" s="394">
        <f t="shared" si="39"/>
        <v>0</v>
      </c>
      <c r="AX37" s="394"/>
      <c r="AY37" s="394">
        <f t="shared" si="40"/>
        <v>0</v>
      </c>
      <c r="AZ37" s="394"/>
      <c r="BA37" s="394">
        <f t="shared" si="41"/>
        <v>0</v>
      </c>
      <c r="BB37" s="394"/>
      <c r="BC37" s="397">
        <f t="shared" si="42"/>
        <v>0</v>
      </c>
      <c r="BD37" s="397"/>
      <c r="BE37" s="132"/>
    </row>
    <row r="38" spans="2:70" ht="22.5" customHeight="1" x14ac:dyDescent="0.2">
      <c r="W38" s="9"/>
      <c r="X38" s="10"/>
      <c r="Y38" s="45"/>
      <c r="Z38" s="46"/>
      <c r="AA38" s="46"/>
      <c r="AB38" s="47"/>
      <c r="AC38" s="47"/>
      <c r="AD38" s="47"/>
      <c r="AE38" s="47"/>
      <c r="AF38" s="47"/>
      <c r="AG38" s="47"/>
      <c r="AH38" s="47"/>
      <c r="AI38" s="78"/>
      <c r="AJ38" s="187"/>
      <c r="AK38" s="392" t="str">
        <f>個人明細!H12</f>
        <v>⑩</v>
      </c>
      <c r="AL38" s="392"/>
      <c r="AM38" s="394">
        <f>個人明細!I12</f>
        <v>0</v>
      </c>
      <c r="AN38" s="394"/>
      <c r="AO38" s="394">
        <f>個人明細!J12</f>
        <v>0</v>
      </c>
      <c r="AP38" s="394"/>
      <c r="AQ38" s="394">
        <f>個人明細!K12</f>
        <v>0</v>
      </c>
      <c r="AR38" s="394"/>
      <c r="AS38" s="395">
        <f>個人明細!L12</f>
        <v>0</v>
      </c>
      <c r="AT38" s="395"/>
      <c r="AU38" s="396"/>
      <c r="AV38" s="396"/>
      <c r="AW38" s="394">
        <f t="shared" si="39"/>
        <v>0</v>
      </c>
      <c r="AX38" s="394"/>
      <c r="AY38" s="394">
        <f t="shared" si="40"/>
        <v>0</v>
      </c>
      <c r="AZ38" s="394"/>
      <c r="BA38" s="394">
        <f t="shared" si="41"/>
        <v>0</v>
      </c>
      <c r="BB38" s="394"/>
      <c r="BC38" s="397">
        <f t="shared" si="42"/>
        <v>0</v>
      </c>
      <c r="BD38" s="397"/>
      <c r="BE38" s="132"/>
    </row>
    <row r="39" spans="2:70" ht="22.5" customHeight="1" x14ac:dyDescent="0.2">
      <c r="W39" s="9"/>
      <c r="X39" s="191" t="s">
        <v>64</v>
      </c>
      <c r="Y39" s="191"/>
      <c r="Z39" s="191"/>
      <c r="AA39" s="191"/>
      <c r="AB39" s="193">
        <f>X36+AB36+AF36+AH36</f>
        <v>0</v>
      </c>
      <c r="AC39" s="193"/>
      <c r="AD39" s="193"/>
      <c r="AE39" s="193"/>
      <c r="AF39" s="193"/>
      <c r="AG39" s="193"/>
      <c r="AH39" s="193"/>
      <c r="AI39" s="78"/>
      <c r="AJ39" s="187"/>
      <c r="AK39" s="392" t="str">
        <f>個人明細!H13</f>
        <v>平等割</v>
      </c>
      <c r="AL39" s="392"/>
      <c r="AM39" s="394">
        <f>個人明細!I13</f>
        <v>0</v>
      </c>
      <c r="AN39" s="394"/>
      <c r="AO39" s="394">
        <f>個人明細!J13</f>
        <v>0</v>
      </c>
      <c r="AP39" s="394"/>
      <c r="AQ39" s="394">
        <f>個人明細!K13</f>
        <v>0</v>
      </c>
      <c r="AR39" s="394"/>
      <c r="AS39" s="395">
        <f>個人明細!L13</f>
        <v>0</v>
      </c>
      <c r="AT39" s="395"/>
      <c r="AU39" s="396"/>
      <c r="AV39" s="396"/>
      <c r="AW39" s="394">
        <f>AM39*MAX(BA11:BA20)/12</f>
        <v>0</v>
      </c>
      <c r="AX39" s="394"/>
      <c r="AY39" s="394">
        <f>AO39*MAX(BA11:BA20)/12</f>
        <v>0</v>
      </c>
      <c r="AZ39" s="394"/>
      <c r="BA39" s="394">
        <f>AQ39*MAX(BB11:BB20)/12</f>
        <v>0</v>
      </c>
      <c r="BB39" s="394"/>
      <c r="BC39" s="400">
        <f>AS39*MAX(BA11:BA20)/12</f>
        <v>0</v>
      </c>
      <c r="BD39" s="400"/>
      <c r="BE39" s="132"/>
    </row>
    <row r="40" spans="2:70" ht="22.5" customHeight="1" x14ac:dyDescent="0.2">
      <c r="W40" s="9"/>
      <c r="X40" s="191"/>
      <c r="Y40" s="191"/>
      <c r="Z40" s="191"/>
      <c r="AA40" s="191"/>
      <c r="AB40" s="193"/>
      <c r="AC40" s="193"/>
      <c r="AD40" s="193"/>
      <c r="AE40" s="193"/>
      <c r="AF40" s="193"/>
      <c r="AG40" s="193"/>
      <c r="AH40" s="193"/>
      <c r="AI40" s="78"/>
      <c r="AJ40" s="187"/>
      <c r="AK40" s="392" t="str">
        <f>個人明細!H14</f>
        <v>計</v>
      </c>
      <c r="AL40" s="392"/>
      <c r="AM40" s="394">
        <f>個人明細!I14</f>
        <v>0</v>
      </c>
      <c r="AN40" s="394"/>
      <c r="AO40" s="394">
        <f>個人明細!J14</f>
        <v>0</v>
      </c>
      <c r="AP40" s="394"/>
      <c r="AQ40" s="394">
        <f>個人明細!K14</f>
        <v>0</v>
      </c>
      <c r="AR40" s="394"/>
      <c r="AS40" s="395">
        <f>個人明細!L14</f>
        <v>0</v>
      </c>
      <c r="AT40" s="395"/>
      <c r="AU40" s="396"/>
      <c r="AV40" s="396"/>
      <c r="AW40" s="394">
        <f>SUM(AW29:AX39)</f>
        <v>0</v>
      </c>
      <c r="AX40" s="394"/>
      <c r="AY40" s="394">
        <f t="shared" ref="AY40" si="43">SUM(AY29:AZ39)</f>
        <v>0</v>
      </c>
      <c r="AZ40" s="394"/>
      <c r="BA40" s="394">
        <f t="shared" ref="BA40" si="44">SUM(BA29:BB39)</f>
        <v>0</v>
      </c>
      <c r="BB40" s="394"/>
      <c r="BC40" s="400">
        <f>SUM(BC29:BD39)</f>
        <v>0</v>
      </c>
      <c r="BD40" s="400"/>
      <c r="BE40" s="132"/>
    </row>
    <row r="41" spans="2:70" ht="22.5" customHeight="1" thickBot="1" x14ac:dyDescent="0.25">
      <c r="W41" s="13"/>
      <c r="X41" s="14"/>
      <c r="Y41" s="14"/>
      <c r="Z41" s="14"/>
      <c r="AA41" s="14"/>
      <c r="AB41" s="48"/>
      <c r="AC41" s="48"/>
      <c r="AD41" s="48"/>
      <c r="AE41" s="48"/>
      <c r="AF41" s="48"/>
      <c r="AG41" s="48"/>
      <c r="AH41" s="48"/>
      <c r="AI41" s="79"/>
      <c r="AJ41" s="187"/>
      <c r="AK41" s="401" t="str">
        <f>個人明細!H15</f>
        <v>端数処理後</v>
      </c>
      <c r="AL41" s="401"/>
      <c r="AM41" s="402">
        <f>個人明細!I15</f>
        <v>0</v>
      </c>
      <c r="AN41" s="402"/>
      <c r="AO41" s="402">
        <f>個人明細!J15</f>
        <v>0</v>
      </c>
      <c r="AP41" s="402"/>
      <c r="AQ41" s="402">
        <f>個人明細!K15</f>
        <v>0</v>
      </c>
      <c r="AR41" s="402"/>
      <c r="AS41" s="403">
        <f>個人明細!L15</f>
        <v>0</v>
      </c>
      <c r="AT41" s="403"/>
      <c r="AU41" s="404"/>
      <c r="AV41" s="404"/>
      <c r="AW41" s="402">
        <f>ROUNDDOWN(AW40,-2)</f>
        <v>0</v>
      </c>
      <c r="AX41" s="402"/>
      <c r="AY41" s="402">
        <f>ROUNDDOWN(AY40,-2)</f>
        <v>0</v>
      </c>
      <c r="AZ41" s="402"/>
      <c r="BA41" s="402">
        <f>ROUNDDOWN(BA40,-2)</f>
        <v>0</v>
      </c>
      <c r="BB41" s="402"/>
      <c r="BC41" s="405">
        <f>ROUNDDOWN(BC40,-2)</f>
        <v>0</v>
      </c>
      <c r="BD41" s="405"/>
      <c r="BE41" s="132"/>
    </row>
    <row r="42" spans="2:70" ht="22.5" customHeight="1" x14ac:dyDescent="0.2"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</row>
    <row r="43" spans="2:70" ht="22.5" customHeight="1" x14ac:dyDescent="0.2"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</row>
    <row r="44" spans="2:70" ht="22.5" customHeight="1" x14ac:dyDescent="0.2"/>
    <row r="45" spans="2:70" ht="11.25" customHeight="1" x14ac:dyDescent="0.2"/>
    <row r="46" spans="2:70" ht="22.5" customHeight="1" x14ac:dyDescent="0.2"/>
    <row r="47" spans="2:70" ht="22.5" customHeight="1" x14ac:dyDescent="0.2"/>
    <row r="48" spans="2:70" ht="22.5" customHeight="1" x14ac:dyDescent="0.2"/>
    <row r="49" ht="22.5" customHeight="1" x14ac:dyDescent="0.2"/>
    <row r="50" ht="22.5" customHeight="1" x14ac:dyDescent="0.2"/>
    <row r="51" ht="22.5" customHeight="1" x14ac:dyDescent="0.2"/>
    <row r="52" ht="22.5" customHeight="1" x14ac:dyDescent="0.2"/>
    <row r="53" ht="22.5" customHeight="1" x14ac:dyDescent="0.2"/>
    <row r="54" ht="22.5" customHeight="1" x14ac:dyDescent="0.2"/>
    <row r="55" ht="22.5" customHeight="1" x14ac:dyDescent="0.2"/>
    <row r="56" ht="22.5" customHeight="1" x14ac:dyDescent="0.2"/>
  </sheetData>
  <sheetProtection algorithmName="SHA-512" hashValue="k840jzUjlaIma/Bu527MDkRBEl3lNPTH/mfJdqnZzewbY64IAPiFBGJCGAZerxaTcLZFUueLA7EzM6kk7hCDkw==" saltValue="GciL23EpyHwRdq/0Gay5GA==" spinCount="100000" sheet="1" selectLockedCells="1"/>
  <mergeCells count="339">
    <mergeCell ref="AX2:BD2"/>
    <mergeCell ref="BC19:BD19"/>
    <mergeCell ref="B2:G2"/>
    <mergeCell ref="C10:F10"/>
    <mergeCell ref="C11:E11"/>
    <mergeCell ref="C12:E12"/>
    <mergeCell ref="C13:E13"/>
    <mergeCell ref="C14:E14"/>
    <mergeCell ref="C19:E19"/>
    <mergeCell ref="P14:R14"/>
    <mergeCell ref="P15:R15"/>
    <mergeCell ref="P16:R16"/>
    <mergeCell ref="P17:R17"/>
    <mergeCell ref="P18:R18"/>
    <mergeCell ref="P19:R19"/>
    <mergeCell ref="B7:B8"/>
    <mergeCell ref="T10:W10"/>
    <mergeCell ref="T11:V11"/>
    <mergeCell ref="T12:V12"/>
    <mergeCell ref="T13:V13"/>
    <mergeCell ref="K14:M14"/>
    <mergeCell ref="G12:I12"/>
    <mergeCell ref="G13:I13"/>
    <mergeCell ref="G14:I14"/>
    <mergeCell ref="AY1:BD1"/>
    <mergeCell ref="DT9:DV9"/>
    <mergeCell ref="AC7:AC8"/>
    <mergeCell ref="AY40:AZ40"/>
    <mergeCell ref="BA40:BB40"/>
    <mergeCell ref="AW41:AX41"/>
    <mergeCell ref="AY41:AZ41"/>
    <mergeCell ref="BA41:BB41"/>
    <mergeCell ref="AY36:AZ36"/>
    <mergeCell ref="BA36:BB36"/>
    <mergeCell ref="AW37:AX37"/>
    <mergeCell ref="AY37:AZ37"/>
    <mergeCell ref="BA37:BB37"/>
    <mergeCell ref="AW38:AX38"/>
    <mergeCell ref="AY38:AZ38"/>
    <mergeCell ref="BA38:BB38"/>
    <mergeCell ref="AW39:AX39"/>
    <mergeCell ref="AY39:AZ39"/>
    <mergeCell ref="BA39:BB39"/>
    <mergeCell ref="AY32:AZ32"/>
    <mergeCell ref="BA32:BB32"/>
    <mergeCell ref="AY33:AZ33"/>
    <mergeCell ref="BA33:BB33"/>
    <mergeCell ref="B3:BD3"/>
    <mergeCell ref="AQ36:AR36"/>
    <mergeCell ref="AW34:AX34"/>
    <mergeCell ref="AW36:AX36"/>
    <mergeCell ref="AW33:AX33"/>
    <mergeCell ref="AS32:AT32"/>
    <mergeCell ref="AS33:AT33"/>
    <mergeCell ref="AS34:AT34"/>
    <mergeCell ref="AS35:AT35"/>
    <mergeCell ref="AS36:AT36"/>
    <mergeCell ref="AW35:AX35"/>
    <mergeCell ref="AW32:AX32"/>
    <mergeCell ref="AO41:AP41"/>
    <mergeCell ref="AM31:AN31"/>
    <mergeCell ref="AM32:AN32"/>
    <mergeCell ref="AM33:AN33"/>
    <mergeCell ref="AM34:AN34"/>
    <mergeCell ref="AM35:AN35"/>
    <mergeCell ref="AM36:AN36"/>
    <mergeCell ref="AM37:AN37"/>
    <mergeCell ref="AM38:AN38"/>
    <mergeCell ref="AM39:AN39"/>
    <mergeCell ref="AM40:AN40"/>
    <mergeCell ref="AQ41:AR41"/>
    <mergeCell ref="AK28:AL28"/>
    <mergeCell ref="AK29:AL29"/>
    <mergeCell ref="AK30:AL30"/>
    <mergeCell ref="AK31:AL31"/>
    <mergeCell ref="AK32:AL32"/>
    <mergeCell ref="AK33:AL33"/>
    <mergeCell ref="AK34:AL34"/>
    <mergeCell ref="AK35:AL35"/>
    <mergeCell ref="AK36:AL36"/>
    <mergeCell ref="AK37:AL37"/>
    <mergeCell ref="AK38:AL38"/>
    <mergeCell ref="AK39:AL39"/>
    <mergeCell ref="AK40:AL40"/>
    <mergeCell ref="AK41:AL41"/>
    <mergeCell ref="AM28:AN28"/>
    <mergeCell ref="AM29:AN29"/>
    <mergeCell ref="AM30:AN30"/>
    <mergeCell ref="AM41:AN41"/>
    <mergeCell ref="AO30:AP30"/>
    <mergeCell ref="AO31:AP31"/>
    <mergeCell ref="AO32:AP32"/>
    <mergeCell ref="AO33:AP33"/>
    <mergeCell ref="AO34:AP34"/>
    <mergeCell ref="CQ8:CT8"/>
    <mergeCell ref="AF11:AG11"/>
    <mergeCell ref="AF12:AG12"/>
    <mergeCell ref="AF13:AG13"/>
    <mergeCell ref="AF21:AG21"/>
    <mergeCell ref="AF20:AG20"/>
    <mergeCell ref="AF19:AG19"/>
    <mergeCell ref="AF18:AG18"/>
    <mergeCell ref="AF17:AG17"/>
    <mergeCell ref="AF16:AG16"/>
    <mergeCell ref="AF15:AG15"/>
    <mergeCell ref="AF14:AG14"/>
    <mergeCell ref="AF10:AG10"/>
    <mergeCell ref="BL13:BN14"/>
    <mergeCell ref="BR13:BT14"/>
    <mergeCell ref="BC11:BD11"/>
    <mergeCell ref="BC12:BD12"/>
    <mergeCell ref="AL10:AN10"/>
    <mergeCell ref="AI10:AK10"/>
    <mergeCell ref="AI11:AK11"/>
    <mergeCell ref="AL11:AN11"/>
    <mergeCell ref="AI15:AK15"/>
    <mergeCell ref="AL15:AN15"/>
    <mergeCell ref="AI16:AK16"/>
    <mergeCell ref="P20:R20"/>
    <mergeCell ref="C20:E20"/>
    <mergeCell ref="AF34:AG35"/>
    <mergeCell ref="AF36:AG37"/>
    <mergeCell ref="X16:Z16"/>
    <mergeCell ref="X17:Z17"/>
    <mergeCell ref="X18:Z18"/>
    <mergeCell ref="X19:Z19"/>
    <mergeCell ref="AB16:AD16"/>
    <mergeCell ref="X34:AA35"/>
    <mergeCell ref="AB34:AE35"/>
    <mergeCell ref="X36:AA37"/>
    <mergeCell ref="AB36:AE37"/>
    <mergeCell ref="AA29:AF29"/>
    <mergeCell ref="AB19:AD19"/>
    <mergeCell ref="AB20:AD20"/>
    <mergeCell ref="AB21:AD21"/>
    <mergeCell ref="C16:E16"/>
    <mergeCell ref="C18:E18"/>
    <mergeCell ref="K18:M18"/>
    <mergeCell ref="K19:M19"/>
    <mergeCell ref="B28:I28"/>
    <mergeCell ref="K16:M16"/>
    <mergeCell ref="K17:M17"/>
    <mergeCell ref="AO28:AP28"/>
    <mergeCell ref="C21:E21"/>
    <mergeCell ref="AB10:AE10"/>
    <mergeCell ref="AB11:AD11"/>
    <mergeCell ref="CB27:CJ27"/>
    <mergeCell ref="AI20:AK20"/>
    <mergeCell ref="T20:V20"/>
    <mergeCell ref="T21:V21"/>
    <mergeCell ref="AL20:AN20"/>
    <mergeCell ref="AI21:AK21"/>
    <mergeCell ref="K21:M21"/>
    <mergeCell ref="BI24:BN24"/>
    <mergeCell ref="BO24:CA24"/>
    <mergeCell ref="CB24:CJ24"/>
    <mergeCell ref="BI25:BN25"/>
    <mergeCell ref="BO25:CA25"/>
    <mergeCell ref="CB25:CJ25"/>
    <mergeCell ref="X21:Z21"/>
    <mergeCell ref="BC21:BD21"/>
    <mergeCell ref="X20:Z20"/>
    <mergeCell ref="BC20:BD20"/>
    <mergeCell ref="CB26:CJ26"/>
    <mergeCell ref="K20:M20"/>
    <mergeCell ref="K15:M15"/>
    <mergeCell ref="G15:I15"/>
    <mergeCell ref="G10:J10"/>
    <mergeCell ref="K10:N10"/>
    <mergeCell ref="K11:M11"/>
    <mergeCell ref="K12:M12"/>
    <mergeCell ref="G16:I16"/>
    <mergeCell ref="BX11:CJ12"/>
    <mergeCell ref="BX19:CJ19"/>
    <mergeCell ref="T14:V14"/>
    <mergeCell ref="T15:V15"/>
    <mergeCell ref="T16:V16"/>
    <mergeCell ref="T17:V17"/>
    <mergeCell ref="BX9:CJ10"/>
    <mergeCell ref="BL11:BN12"/>
    <mergeCell ref="BU11:BW12"/>
    <mergeCell ref="BU9:BW10"/>
    <mergeCell ref="AB17:AD17"/>
    <mergeCell ref="BI15:BK16"/>
    <mergeCell ref="BL15:BN16"/>
    <mergeCell ref="BX15:CJ16"/>
    <mergeCell ref="BR15:BT16"/>
    <mergeCell ref="BO15:BQ16"/>
    <mergeCell ref="BU15:BW16"/>
    <mergeCell ref="AQ28:AR28"/>
    <mergeCell ref="AQ29:AR29"/>
    <mergeCell ref="BI33:BL33"/>
    <mergeCell ref="BI26:BN26"/>
    <mergeCell ref="BO26:CA26"/>
    <mergeCell ref="BC16:BD16"/>
    <mergeCell ref="BX13:CJ14"/>
    <mergeCell ref="BI17:BK18"/>
    <mergeCell ref="BL17:BN18"/>
    <mergeCell ref="BO17:BQ18"/>
    <mergeCell ref="BR17:BT18"/>
    <mergeCell ref="BX17:CJ18"/>
    <mergeCell ref="BI19:BK19"/>
    <mergeCell ref="BL19:BN19"/>
    <mergeCell ref="BO19:BQ19"/>
    <mergeCell ref="BR19:BT19"/>
    <mergeCell ref="BI27:BN27"/>
    <mergeCell ref="BO27:CA27"/>
    <mergeCell ref="BO13:BQ14"/>
    <mergeCell ref="BU19:BW19"/>
    <mergeCell ref="BU17:BW18"/>
    <mergeCell ref="BU13:BW14"/>
    <mergeCell ref="AQ30:AR30"/>
    <mergeCell ref="AQ31:AR31"/>
    <mergeCell ref="P21:R21"/>
    <mergeCell ref="G20:I20"/>
    <mergeCell ref="G21:I21"/>
    <mergeCell ref="AL21:AN21"/>
    <mergeCell ref="AS28:AT28"/>
    <mergeCell ref="T19:V19"/>
    <mergeCell ref="AO29:AP29"/>
    <mergeCell ref="BH4:BK4"/>
    <mergeCell ref="T18:V18"/>
    <mergeCell ref="AB18:AD18"/>
    <mergeCell ref="BC17:BD17"/>
    <mergeCell ref="BC18:BD18"/>
    <mergeCell ref="X6:AB6"/>
    <mergeCell ref="BI13:BK14"/>
    <mergeCell ref="AI17:AK17"/>
    <mergeCell ref="BI9:BK10"/>
    <mergeCell ref="BI11:BK12"/>
    <mergeCell ref="BC13:BD13"/>
    <mergeCell ref="BC14:BD14"/>
    <mergeCell ref="BC15:BD15"/>
    <mergeCell ref="AB12:AD12"/>
    <mergeCell ref="AB13:AD13"/>
    <mergeCell ref="AB14:AD14"/>
    <mergeCell ref="AB15:AD15"/>
    <mergeCell ref="AD7:AJ8"/>
    <mergeCell ref="AI12:AK12"/>
    <mergeCell ref="AL12:AN12"/>
    <mergeCell ref="AI13:AK13"/>
    <mergeCell ref="AL13:AN13"/>
    <mergeCell ref="AI14:AK14"/>
    <mergeCell ref="AL14:AN14"/>
    <mergeCell ref="P12:R12"/>
    <mergeCell ref="P13:R13"/>
    <mergeCell ref="X12:Z12"/>
    <mergeCell ref="X13:Z13"/>
    <mergeCell ref="X14:Z14"/>
    <mergeCell ref="C17:E17"/>
    <mergeCell ref="AL16:AN16"/>
    <mergeCell ref="G18:I18"/>
    <mergeCell ref="G19:I19"/>
    <mergeCell ref="C4:G5"/>
    <mergeCell ref="X7:AB8"/>
    <mergeCell ref="C6:G6"/>
    <mergeCell ref="C7:G8"/>
    <mergeCell ref="H7:H8"/>
    <mergeCell ref="C15:E15"/>
    <mergeCell ref="X15:Z15"/>
    <mergeCell ref="K13:M13"/>
    <mergeCell ref="X10:AA10"/>
    <mergeCell ref="X11:Z11"/>
    <mergeCell ref="G11:I11"/>
    <mergeCell ref="G17:I17"/>
    <mergeCell ref="P10:S10"/>
    <mergeCell ref="P11:R11"/>
    <mergeCell ref="I7:W8"/>
    <mergeCell ref="AL17:AN17"/>
    <mergeCell ref="AI18:AK18"/>
    <mergeCell ref="AL18:AN18"/>
    <mergeCell ref="AI19:AK19"/>
    <mergeCell ref="AL19:AN19"/>
    <mergeCell ref="BI31:BL32"/>
    <mergeCell ref="BN32:BR33"/>
    <mergeCell ref="BL9:BN10"/>
    <mergeCell ref="BO9:BQ10"/>
    <mergeCell ref="BR9:BT10"/>
    <mergeCell ref="BO11:BQ12"/>
    <mergeCell ref="BR11:BT12"/>
    <mergeCell ref="BA28:BB28"/>
    <mergeCell ref="AW29:AX29"/>
    <mergeCell ref="AY29:AZ29"/>
    <mergeCell ref="BA29:BB29"/>
    <mergeCell ref="AY30:AZ30"/>
    <mergeCell ref="BA30:BB30"/>
    <mergeCell ref="AY31:AZ31"/>
    <mergeCell ref="BA31:BB31"/>
    <mergeCell ref="AY28:AZ28"/>
    <mergeCell ref="AW30:AX30"/>
    <mergeCell ref="AW31:AX31"/>
    <mergeCell ref="AS41:AT41"/>
    <mergeCell ref="BC28:BD28"/>
    <mergeCell ref="BC29:BD29"/>
    <mergeCell ref="BC30:BD30"/>
    <mergeCell ref="BC31:BD31"/>
    <mergeCell ref="BC32:BD32"/>
    <mergeCell ref="BC33:BD33"/>
    <mergeCell ref="BC34:BD34"/>
    <mergeCell ref="BC35:BD35"/>
    <mergeCell ref="BC36:BD36"/>
    <mergeCell ref="BC37:BD37"/>
    <mergeCell ref="BC38:BD38"/>
    <mergeCell ref="BC39:BD39"/>
    <mergeCell ref="BC40:BD40"/>
    <mergeCell ref="BC41:BD41"/>
    <mergeCell ref="AW40:AX40"/>
    <mergeCell ref="AY34:AZ34"/>
    <mergeCell ref="BA34:BB34"/>
    <mergeCell ref="AY35:AZ35"/>
    <mergeCell ref="BA35:BB35"/>
    <mergeCell ref="AW28:AX28"/>
    <mergeCell ref="AS29:AT29"/>
    <mergeCell ref="AS30:AT30"/>
    <mergeCell ref="AS31:AT31"/>
    <mergeCell ref="X31:AH31"/>
    <mergeCell ref="X32:AH32"/>
    <mergeCell ref="AH34:AH35"/>
    <mergeCell ref="AH36:AH37"/>
    <mergeCell ref="AB39:AH40"/>
    <mergeCell ref="AS37:AT37"/>
    <mergeCell ref="AS38:AT38"/>
    <mergeCell ref="AS39:AT39"/>
    <mergeCell ref="AS40:AT40"/>
    <mergeCell ref="X39:AA40"/>
    <mergeCell ref="AQ37:AR37"/>
    <mergeCell ref="AQ38:AR38"/>
    <mergeCell ref="AQ39:AR39"/>
    <mergeCell ref="AQ40:AR40"/>
    <mergeCell ref="AO35:AP35"/>
    <mergeCell ref="AO36:AP36"/>
    <mergeCell ref="AO37:AP37"/>
    <mergeCell ref="AO38:AP38"/>
    <mergeCell ref="AO39:AP39"/>
    <mergeCell ref="AO40:AP40"/>
    <mergeCell ref="AQ32:AR32"/>
    <mergeCell ref="AQ33:AR33"/>
    <mergeCell ref="AQ34:AR34"/>
    <mergeCell ref="AQ35:AR35"/>
  </mergeCells>
  <phoneticPr fontId="2"/>
  <conditionalFormatting sqref="AF11 X11:AA11 C11:J11 O11:R11 AL11 AI11">
    <cfRule type="expression" dxfId="55" priority="140">
      <formula>$C$7=""</formula>
    </cfRule>
  </conditionalFormatting>
  <conditionalFormatting sqref="AF11 X11:AA11 C11:J11 O11:R11 AL11 AI11">
    <cfRule type="expression" dxfId="54" priority="163">
      <formula>$X$7&gt;0</formula>
    </cfRule>
  </conditionalFormatting>
  <conditionalFormatting sqref="C12:J12 X12:AA12 AF12 O12">
    <cfRule type="expression" dxfId="53" priority="167">
      <formula>$X$7&gt;1</formula>
    </cfRule>
  </conditionalFormatting>
  <conditionalFormatting sqref="C13:J13 X13:AA13 AF13 O13">
    <cfRule type="expression" dxfId="52" priority="169">
      <formula>$X$7&gt;2</formula>
    </cfRule>
  </conditionalFormatting>
  <conditionalFormatting sqref="C14:J14 X14:AA14 AF14 O14">
    <cfRule type="expression" dxfId="51" priority="171">
      <formula>$X$7&gt;3</formula>
    </cfRule>
  </conditionalFormatting>
  <conditionalFormatting sqref="C15:J15 X15:AA15 AF15 O15">
    <cfRule type="expression" dxfId="50" priority="173">
      <formula>$X$7&gt;4</formula>
    </cfRule>
  </conditionalFormatting>
  <conditionalFormatting sqref="C16:J16 X16:AA16 AF16 O16">
    <cfRule type="expression" dxfId="49" priority="175">
      <formula>$X$7&gt;5</formula>
    </cfRule>
  </conditionalFormatting>
  <conditionalFormatting sqref="C17:J17 X17:AA17 O17">
    <cfRule type="expression" dxfId="48" priority="177">
      <formula>$X$7&gt;6</formula>
    </cfRule>
  </conditionalFormatting>
  <conditionalFormatting sqref="C18:J18 X18:AA18 O18 AF18:AG18">
    <cfRule type="expression" dxfId="47" priority="179">
      <formula>$X$7&gt;7</formula>
    </cfRule>
  </conditionalFormatting>
  <conditionalFormatting sqref="C19:J19 X19:AA19 O19">
    <cfRule type="expression" dxfId="46" priority="181">
      <formula>$X$7&gt;8</formula>
    </cfRule>
  </conditionalFormatting>
  <conditionalFormatting sqref="C20:J20 X20:AA20 O20">
    <cfRule type="expression" dxfId="45" priority="183">
      <formula>$X$7&gt;9</formula>
    </cfRule>
  </conditionalFormatting>
  <conditionalFormatting sqref="AC7:AJ8">
    <cfRule type="expression" dxfId="44" priority="52">
      <formula>$C$7&lt;&gt;"国保"</formula>
    </cfRule>
  </conditionalFormatting>
  <conditionalFormatting sqref="S11">
    <cfRule type="expression" dxfId="43" priority="37">
      <formula>$C$7=""</formula>
    </cfRule>
    <cfRule type="expression" dxfId="42" priority="38">
      <formula>$C$7&lt;&gt;"国保"</formula>
    </cfRule>
  </conditionalFormatting>
  <conditionalFormatting sqref="S11">
    <cfRule type="expression" dxfId="41" priority="39">
      <formula>$X$7&gt;0</formula>
    </cfRule>
  </conditionalFormatting>
  <conditionalFormatting sqref="S12">
    <cfRule type="expression" dxfId="40" priority="40">
      <formula>$X$7&gt;1</formula>
    </cfRule>
  </conditionalFormatting>
  <conditionalFormatting sqref="S13">
    <cfRule type="expression" dxfId="39" priority="41">
      <formula>$X$7&gt;2</formula>
    </cfRule>
  </conditionalFormatting>
  <conditionalFormatting sqref="S14">
    <cfRule type="expression" dxfId="38" priority="42">
      <formula>$X$7&gt;3</formula>
    </cfRule>
  </conditionalFormatting>
  <conditionalFormatting sqref="S15">
    <cfRule type="expression" dxfId="37" priority="43">
      <formula>$X$7&gt;4</formula>
    </cfRule>
  </conditionalFormatting>
  <conditionalFormatting sqref="S16">
    <cfRule type="expression" dxfId="36" priority="44">
      <formula>$X$7&gt;5</formula>
    </cfRule>
  </conditionalFormatting>
  <conditionalFormatting sqref="S17">
    <cfRule type="expression" dxfId="35" priority="45">
      <formula>$X$7&gt;6</formula>
    </cfRule>
  </conditionalFormatting>
  <conditionalFormatting sqref="S18">
    <cfRule type="expression" dxfId="34" priority="46">
      <formula>$X$7&gt;7</formula>
    </cfRule>
  </conditionalFormatting>
  <conditionalFormatting sqref="S19">
    <cfRule type="expression" dxfId="33" priority="47">
      <formula>$X$7&gt;8</formula>
    </cfRule>
  </conditionalFormatting>
  <conditionalFormatting sqref="S20">
    <cfRule type="expression" dxfId="32" priority="48">
      <formula>$X$7&gt;9</formula>
    </cfRule>
  </conditionalFormatting>
  <conditionalFormatting sqref="AF17">
    <cfRule type="expression" dxfId="31" priority="36">
      <formula>$X$7&gt;6</formula>
    </cfRule>
  </conditionalFormatting>
  <conditionalFormatting sqref="AF19">
    <cfRule type="expression" dxfId="30" priority="34">
      <formula>$X$7&gt;8</formula>
    </cfRule>
  </conditionalFormatting>
  <conditionalFormatting sqref="AF20">
    <cfRule type="expression" dxfId="29" priority="33">
      <formula>$X$7&gt;9</formula>
    </cfRule>
  </conditionalFormatting>
  <conditionalFormatting sqref="C11:J11 O11:S11 X11:AA11 AF11:AG11 AI11:AN11">
    <cfRule type="expression" dxfId="28" priority="141">
      <formula>$C$7&lt;&gt;"国保"</formula>
    </cfRule>
  </conditionalFormatting>
  <conditionalFormatting sqref="P18:R18">
    <cfRule type="expression" dxfId="27" priority="29">
      <formula>$X$7&gt;7</formula>
    </cfRule>
  </conditionalFormatting>
  <conditionalFormatting sqref="P17:R17">
    <cfRule type="expression" dxfId="26" priority="28">
      <formula>$X$7&gt;6</formula>
    </cfRule>
  </conditionalFormatting>
  <conditionalFormatting sqref="P16:R16">
    <cfRule type="expression" dxfId="25" priority="26">
      <formula>$X$7&gt;5</formula>
    </cfRule>
  </conditionalFormatting>
  <conditionalFormatting sqref="P15:R15">
    <cfRule type="expression" dxfId="24" priority="25">
      <formula>$X$7&gt;4</formula>
    </cfRule>
  </conditionalFormatting>
  <conditionalFormatting sqref="P14:R14">
    <cfRule type="expression" dxfId="23" priority="24">
      <formula>$X$7&gt;3</formula>
    </cfRule>
  </conditionalFormatting>
  <conditionalFormatting sqref="P13:R13">
    <cfRule type="expression" dxfId="22" priority="23">
      <formula>$X$7&gt;2</formula>
    </cfRule>
  </conditionalFormatting>
  <conditionalFormatting sqref="P12:R12">
    <cfRule type="expression" dxfId="21" priority="22">
      <formula>$X$7&gt;1</formula>
    </cfRule>
  </conditionalFormatting>
  <conditionalFormatting sqref="P19:R19">
    <cfRule type="expression" dxfId="20" priority="21">
      <formula>$X$7&gt;8</formula>
    </cfRule>
  </conditionalFormatting>
  <conditionalFormatting sqref="P20:R20">
    <cfRule type="expression" dxfId="19" priority="20">
      <formula>$X$7&gt;9</formula>
    </cfRule>
  </conditionalFormatting>
  <conditionalFormatting sqref="AI20">
    <cfRule type="expression" dxfId="18" priority="19">
      <formula>$X$7&gt;9</formula>
    </cfRule>
  </conditionalFormatting>
  <conditionalFormatting sqref="AL20">
    <cfRule type="expression" dxfId="17" priority="18">
      <formula>$X$7&gt;9</formula>
    </cfRule>
  </conditionalFormatting>
  <conditionalFormatting sqref="AI19">
    <cfRule type="expression" dxfId="16" priority="17">
      <formula>$X$7&gt;8</formula>
    </cfRule>
  </conditionalFormatting>
  <conditionalFormatting sqref="AI18">
    <cfRule type="expression" dxfId="15" priority="16">
      <formula>$X$7&gt;7</formula>
    </cfRule>
  </conditionalFormatting>
  <conditionalFormatting sqref="AI17">
    <cfRule type="expression" dxfId="14" priority="15">
      <formula>$X$7&gt;6</formula>
    </cfRule>
  </conditionalFormatting>
  <conditionalFormatting sqref="AI16">
    <cfRule type="expression" dxfId="13" priority="14">
      <formula>$X$7&gt;5</formula>
    </cfRule>
  </conditionalFormatting>
  <conditionalFormatting sqref="AI15">
    <cfRule type="expression" dxfId="12" priority="13">
      <formula>$X$7&gt;4</formula>
    </cfRule>
  </conditionalFormatting>
  <conditionalFormatting sqref="AI14">
    <cfRule type="expression" dxfId="11" priority="12">
      <formula>$X$7&gt;3</formula>
    </cfRule>
  </conditionalFormatting>
  <conditionalFormatting sqref="AI13">
    <cfRule type="expression" dxfId="10" priority="11">
      <formula>$X$7&gt;2</formula>
    </cfRule>
  </conditionalFormatting>
  <conditionalFormatting sqref="AI12">
    <cfRule type="expression" dxfId="9" priority="10">
      <formula>$X$7&gt;1</formula>
    </cfRule>
  </conditionalFormatting>
  <conditionalFormatting sqref="AL19">
    <cfRule type="expression" dxfId="8" priority="9">
      <formula>$X$7&gt;8</formula>
    </cfRule>
  </conditionalFormatting>
  <conditionalFormatting sqref="AL18">
    <cfRule type="expression" dxfId="7" priority="8">
      <formula>$X$7&gt;7</formula>
    </cfRule>
  </conditionalFormatting>
  <conditionalFormatting sqref="AL17">
    <cfRule type="expression" dxfId="6" priority="6">
      <formula>$X$7&gt;6</formula>
    </cfRule>
  </conditionalFormatting>
  <conditionalFormatting sqref="AL16">
    <cfRule type="expression" dxfId="5" priority="5">
      <formula>$X$7&gt;5</formula>
    </cfRule>
  </conditionalFormatting>
  <conditionalFormatting sqref="AL15">
    <cfRule type="expression" dxfId="4" priority="4">
      <formula>$X$7&gt;4</formula>
    </cfRule>
  </conditionalFormatting>
  <conditionalFormatting sqref="AL14">
    <cfRule type="expression" dxfId="3" priority="3">
      <formula>$X$7&gt;3</formula>
    </cfRule>
  </conditionalFormatting>
  <conditionalFormatting sqref="AL13">
    <cfRule type="expression" dxfId="2" priority="2">
      <formula>$X$7&gt;2</formula>
    </cfRule>
  </conditionalFormatting>
  <conditionalFormatting sqref="AL12">
    <cfRule type="expression" dxfId="1" priority="1">
      <formula>$X$7&gt;1</formula>
    </cfRule>
  </conditionalFormatting>
  <dataValidations xWindow="1246" yWindow="929" count="8">
    <dataValidation type="list" allowBlank="1" showInputMessage="1" showErrorMessage="1" prompt="現状ではなく_x000a_『これからの状況』を選択してください。" sqref="C7:G8">
      <formula1>"社保,国保,後期"</formula1>
    </dataValidation>
    <dataValidation type="list" allowBlank="1" showInputMessage="1" sqref="X32">
      <formula1>"７割軽減,５割軽減,２割軽減,軽減なし"</formula1>
    </dataValidation>
    <dataValidation type="list" allowBlank="1" showInputMessage="1" showErrorMessage="1" sqref="O21">
      <formula1>"○"</formula1>
    </dataValidation>
    <dataValidation type="whole" allowBlank="1" showInputMessage="1" showErrorMessage="1" errorTitle="人数エラー" error="人数が規定値から外れています。_x000a_1～10人の間で選択してください。" prompt="数字を入力してください。" sqref="X7:AB8">
      <formula1>0</formula1>
      <formula2>10</formula2>
    </dataValidation>
    <dataValidation allowBlank="1" showInputMessage="1" showErrorMessage="1" promptTitle="【国保加入日の基準日】" prompt="①他の市区町村から転入したとき_x000a_　（転入した日）_x000a_②職場の健康保険などを辞めたとき_x000a_　（退職日の翌日）_x000a_③子どもが生まれたとき_x000a_　（生まれた日）_x000a_④生活保護を受けなくなったとき_x000a_　（受けなくなった日）" sqref="AI11:AK20"/>
    <dataValidation type="list" allowBlank="1" showInputMessage="1" showErrorMessage="1" promptTitle="【失業軽減の有無】" prompt="失業軽減に該当する場合は_x000a_『 ○ 』を選択してください。" sqref="O11:O20">
      <formula1>"○"</formula1>
    </dataValidation>
    <dataValidation allowBlank="1" showInputMessage="1" showErrorMessage="1" promptTitle="【注意】" prompt="今年度以降も加入される場合は、_x000a_『 令和９年４月１日 』_x000a_と入力してください。" sqref="AL12:AN20"/>
    <dataValidation allowBlank="1" showInputMessage="1" showErrorMessage="1" promptTitle="【注意】" prompt="今年度以降も加入される場合は、_x000a_『 令和９年４月１日 』_x000a_と入力してください。_x000a__x000a_" sqref="AL11:AN11"/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55" orientation="landscape" cellComments="asDisplayed" r:id="rId1"/>
  <colBreaks count="1" manualBreakCount="1">
    <brk id="5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6" tint="0.39997558519241921"/>
  </sheetPr>
  <dimension ref="A1"/>
  <sheetViews>
    <sheetView showGridLines="0" topLeftCell="A10" zoomScale="85" zoomScaleNormal="85" workbookViewId="0"/>
  </sheetViews>
  <sheetFormatPr defaultRowHeight="13" x14ac:dyDescent="0.2"/>
  <sheetData/>
  <sheetProtection selectLockedCells="1"/>
  <phoneticPr fontId="2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4" tint="0.39997558519241921"/>
  </sheetPr>
  <dimension ref="A1:J149"/>
  <sheetViews>
    <sheetView view="pageBreakPreview" zoomScaleNormal="100" zoomScaleSheetLayoutView="100" workbookViewId="0">
      <selection activeCell="A4" sqref="A4:C4"/>
    </sheetView>
  </sheetViews>
  <sheetFormatPr defaultColWidth="9" defaultRowHeight="13" x14ac:dyDescent="0.2"/>
  <cols>
    <col min="1" max="1" width="3.453125" style="142" customWidth="1"/>
    <col min="2" max="2" width="9.26953125" style="142" customWidth="1"/>
    <col min="3" max="3" width="25.26953125" style="142" bestFit="1" customWidth="1"/>
    <col min="4" max="4" width="21.26953125" style="142" customWidth="1"/>
    <col min="5" max="5" width="10.7265625" style="142" customWidth="1"/>
    <col min="6" max="6" width="21" style="142" customWidth="1"/>
    <col min="7" max="7" width="10.6328125" style="142" customWidth="1"/>
    <col min="8" max="8" width="20.90625" style="142" customWidth="1"/>
    <col min="9" max="9" width="10.6328125" style="142" customWidth="1"/>
    <col min="10" max="10" width="15.6328125" style="142" bestFit="1" customWidth="1"/>
    <col min="11" max="16384" width="9" style="142"/>
  </cols>
  <sheetData>
    <row r="1" spans="1:10" ht="13.5" thickBot="1" x14ac:dyDescent="0.25">
      <c r="A1" s="144"/>
      <c r="B1" s="145"/>
      <c r="C1" s="146" t="s">
        <v>153</v>
      </c>
      <c r="D1" s="160">
        <f>計算シート!P11</f>
        <v>0</v>
      </c>
      <c r="E1" s="147"/>
      <c r="F1" s="164" t="s">
        <v>181</v>
      </c>
      <c r="G1" s="163" t="str">
        <f>IF(計算シート!AF11="","",SUM(E5:E14,G5:G14,I5:I14))</f>
        <v/>
      </c>
      <c r="H1" s="165" t="s">
        <v>1</v>
      </c>
      <c r="I1" s="145"/>
      <c r="J1" s="140" t="s">
        <v>33</v>
      </c>
    </row>
    <row r="2" spans="1:10" ht="13.5" thickBot="1" x14ac:dyDescent="0.25">
      <c r="A2" s="382" t="s">
        <v>25</v>
      </c>
      <c r="B2" s="382"/>
      <c r="C2" s="139" t="s">
        <v>35</v>
      </c>
      <c r="D2" s="161" t="str">
        <f>IF(計算シート!AF11="","",計算シート!AF11)</f>
        <v/>
      </c>
      <c r="E2" s="29"/>
      <c r="F2" s="29"/>
      <c r="G2" s="29"/>
      <c r="H2" s="29"/>
      <c r="I2" s="145"/>
      <c r="J2" s="166">
        <v>46023</v>
      </c>
    </row>
    <row r="3" spans="1:10" x14ac:dyDescent="0.2">
      <c r="A3" s="383" t="str">
        <f>IFERROR(IF(D2="","",DATEDIF($D2,$J$2,"Y")),0)</f>
        <v/>
      </c>
      <c r="B3" s="383"/>
      <c r="C3" s="148" t="s">
        <v>149</v>
      </c>
      <c r="D3" s="162">
        <f>IF(計算シート!K11="",計算シート!C11+0+計算シート!X11,計算シート!C11+計算シート!K11+計算シート!X11)</f>
        <v>0</v>
      </c>
      <c r="E3" s="147"/>
      <c r="F3" s="147"/>
      <c r="G3" s="147"/>
      <c r="H3" s="147"/>
      <c r="I3" s="145"/>
      <c r="J3" s="145"/>
    </row>
    <row r="4" spans="1:10" x14ac:dyDescent="0.2">
      <c r="A4" s="384" t="s">
        <v>167</v>
      </c>
      <c r="B4" s="384"/>
      <c r="C4" s="384"/>
      <c r="D4" s="381" t="s">
        <v>160</v>
      </c>
      <c r="E4" s="381"/>
      <c r="F4" s="382" t="s">
        <v>161</v>
      </c>
      <c r="G4" s="382"/>
      <c r="H4" s="381" t="s">
        <v>175</v>
      </c>
      <c r="I4" s="381"/>
      <c r="J4" s="145"/>
    </row>
    <row r="5" spans="1:10" x14ac:dyDescent="0.2">
      <c r="A5" s="387" t="s">
        <v>152</v>
      </c>
      <c r="B5" s="383" t="s">
        <v>26</v>
      </c>
      <c r="C5" s="141" t="s">
        <v>27</v>
      </c>
      <c r="D5" s="21" t="s">
        <v>154</v>
      </c>
      <c r="E5" s="138">
        <f>IF(D3&lt;=10000000,IF(A3&lt;65,IF(D1&lt;600000,0,IF(D1&lt;1300000,D1-600000,0)),0),0)</f>
        <v>0</v>
      </c>
      <c r="F5" s="141" t="s">
        <v>169</v>
      </c>
      <c r="G5" s="138">
        <f>IF(AND(D3&lt;=20000000,D3&gt;10000000),IF(A3&lt;65,IF(D1&lt;500000,0,IF(D1&lt;1300000,D1-500000,0)),0),0)</f>
        <v>0</v>
      </c>
      <c r="H5" s="141" t="s">
        <v>168</v>
      </c>
      <c r="I5" s="138">
        <f>IF(D3&gt;20000000,IF(A3&lt;65,IF(D1&lt;400000,0,IF(D1&lt;1300000,D1-400000,0)),0),0)</f>
        <v>0</v>
      </c>
      <c r="J5" s="145"/>
    </row>
    <row r="6" spans="1:10" x14ac:dyDescent="0.2">
      <c r="A6" s="387"/>
      <c r="B6" s="385"/>
      <c r="C6" s="141" t="s">
        <v>28</v>
      </c>
      <c r="D6" s="21" t="s">
        <v>155</v>
      </c>
      <c r="E6" s="138">
        <f>IF(D3&lt;=10000000,IF(A3&lt;65,IF(D1&lt;1300000,0,IF(D1&lt;4100000,ROUNDDOWN(D1*0.75,0)-275000,0)),0),0)</f>
        <v>0</v>
      </c>
      <c r="F6" s="141" t="s">
        <v>162</v>
      </c>
      <c r="G6" s="138">
        <f>IF(AND(D3&lt;=20000000,D3&gt;10000000),IF(A3&lt;65,IF(D1&lt;1300000,0,IF(D1&lt;4100000,ROUNDDOWN(D1*0.75,0)-175000,0)),0),0)</f>
        <v>0</v>
      </c>
      <c r="H6" s="141" t="s">
        <v>170</v>
      </c>
      <c r="I6" s="138">
        <f>IF(D3&gt;20000000,IF(A3&lt;65,IF(D1&lt;1300000,0,IF(D1&lt;4100000,ROUNDDOWN(D1*0.75,0)-75000,0)),0),0)</f>
        <v>0</v>
      </c>
      <c r="J6" s="145"/>
    </row>
    <row r="7" spans="1:10" x14ac:dyDescent="0.2">
      <c r="A7" s="387"/>
      <c r="B7" s="385"/>
      <c r="C7" s="141" t="s">
        <v>29</v>
      </c>
      <c r="D7" s="21" t="s">
        <v>156</v>
      </c>
      <c r="E7" s="138">
        <f>IF(D3&lt;=10000000,IF(A3&lt;65,IF(D1&lt;4100000,0,IF(D1&lt;7700000,ROUNDDOWN(D1*0.85,0)-685000,0)),0),0)</f>
        <v>0</v>
      </c>
      <c r="F7" s="141" t="s">
        <v>163</v>
      </c>
      <c r="G7" s="138">
        <f>IF(AND(D3&lt;=20000000,D3&gt;10000000),IF(A3&lt;65,IF(D1&lt;4100000,0,IF(D1&lt;7700000,ROUNDDOWN(D1*0.85,0)-585000,0)),0),0)</f>
        <v>0</v>
      </c>
      <c r="H7" s="141" t="s">
        <v>171</v>
      </c>
      <c r="I7" s="138">
        <f>IF(D3&gt;20000000,IF(A3&lt;65,IF(D1&lt;4100000,0,IF(D1&lt;7700000,ROUNDDOWN(D1*0.85,0)-485000,0)),0),0)</f>
        <v>0</v>
      </c>
      <c r="J7" s="145"/>
    </row>
    <row r="8" spans="1:10" x14ac:dyDescent="0.2">
      <c r="A8" s="387"/>
      <c r="B8" s="385"/>
      <c r="C8" s="141" t="s">
        <v>150</v>
      </c>
      <c r="D8" s="21" t="s">
        <v>157</v>
      </c>
      <c r="E8" s="138">
        <f>IF(D3&lt;=10000000,IF(A3&lt;65,IF(D1&lt;7700000,0,IF(D1&lt;10000000,ROUNDDOWN(D1*0.95,0)-1455000,0)),0),0)</f>
        <v>0</v>
      </c>
      <c r="F8" s="141" t="s">
        <v>164</v>
      </c>
      <c r="G8" s="138">
        <f>IF(AND(D3&lt;=20000000,D3&gt;10000000),IF(A3&lt;65,IF(D1&lt;7700000,0,IF(D1&lt;10000000,ROUNDDOWN(D1*0.95,0)-1355000,0)),0),0)</f>
        <v>0</v>
      </c>
      <c r="H8" s="141" t="s">
        <v>172</v>
      </c>
      <c r="I8" s="138">
        <f>IF(D3&gt;20000000,IF(A3&lt;65,IF(D1&lt;7700000,0,IF(D1&lt;10000000,ROUNDDOWN(D1*0.95,0)-1255000,0)),0),0)</f>
        <v>0</v>
      </c>
      <c r="J8" s="145"/>
    </row>
    <row r="9" spans="1:10" x14ac:dyDescent="0.2">
      <c r="A9" s="387"/>
      <c r="B9" s="386"/>
      <c r="C9" s="141" t="s">
        <v>151</v>
      </c>
      <c r="D9" s="21" t="s">
        <v>158</v>
      </c>
      <c r="E9" s="138">
        <f>IF(D3&lt;=10000000,IF(A3&lt;65,IF(D1&lt;10000000,0,IF(D1&gt;9999999,D1-1955000,0)),0),0)</f>
        <v>0</v>
      </c>
      <c r="F9" s="141" t="s">
        <v>165</v>
      </c>
      <c r="G9" s="138">
        <f>IF(AND(D3&lt;=20000000,D3&gt;10000000),IF(A3&lt;65,IF(D1&lt;10000000,0,IF(D1&gt;9999999,D1-1855000,0)),0),0)</f>
        <v>0</v>
      </c>
      <c r="H9" s="141" t="s">
        <v>173</v>
      </c>
      <c r="I9" s="138">
        <f>IF(D3&gt;20000000,IF(A3&lt;65,IF(D1&lt;10000000,0,IF(D1&gt;9999999,D1-1755000,0)),0),0)</f>
        <v>0</v>
      </c>
      <c r="J9" s="145"/>
    </row>
    <row r="10" spans="1:10" x14ac:dyDescent="0.2">
      <c r="A10" s="387"/>
      <c r="B10" s="383" t="s">
        <v>30</v>
      </c>
      <c r="C10" s="141" t="s">
        <v>31</v>
      </c>
      <c r="D10" s="21" t="s">
        <v>159</v>
      </c>
      <c r="E10" s="138">
        <f>IF(D3&lt;=10000000,IF(A3&gt;64,IF(D1&lt;1100000,0,IF(D1&lt;3300000,D1-1100000,0)),0),0)</f>
        <v>0</v>
      </c>
      <c r="F10" s="141" t="s">
        <v>166</v>
      </c>
      <c r="G10" s="138">
        <f>IF(AND(D3&lt;=20000000,D3&gt;10000000),IF(A3&gt;64,IF(D1&lt;1000000,0,IF(D1&lt;3300000,D1-1000000,0)),0),0)</f>
        <v>0</v>
      </c>
      <c r="H10" s="141" t="s">
        <v>174</v>
      </c>
      <c r="I10" s="138">
        <f>IF(D3&gt;20000000,IF(A3&gt;64,IF(D1&lt;900000,0,IF(D1&lt;3300000,D1-900000,0)),0),0)</f>
        <v>0</v>
      </c>
      <c r="J10" s="145"/>
    </row>
    <row r="11" spans="1:10" x14ac:dyDescent="0.2">
      <c r="A11" s="387"/>
      <c r="B11" s="385"/>
      <c r="C11" s="141" t="s">
        <v>32</v>
      </c>
      <c r="D11" s="21" t="s">
        <v>155</v>
      </c>
      <c r="E11" s="138">
        <f>IF(D3&lt;=10000000,IF(A3&gt;64,IF(D1&lt;3300000,0,IF(D1&lt;4100000,ROUNDDOWN(D1*0.75,0)-275000,0)),0),0)</f>
        <v>0</v>
      </c>
      <c r="F11" s="141" t="s">
        <v>162</v>
      </c>
      <c r="G11" s="138">
        <f>IF(AND(D3&lt;=20000000,D3&gt;10000000),IF(A3&gt;64,IF(D1&lt;3300000,0,IF(D1&lt;4100000,ROUNDDOWN(D1*0.75,0)-175000,0)),0),0)</f>
        <v>0</v>
      </c>
      <c r="H11" s="141" t="s">
        <v>170</v>
      </c>
      <c r="I11" s="138">
        <f>IF(D3&gt;20000000,IF(A3&gt;64,IF(D1&lt;3300000,0,IF(D1&lt;4100000,ROUNDDOWN(D1*0.75,0)-75000,0)),0),0)</f>
        <v>0</v>
      </c>
      <c r="J11" s="145"/>
    </row>
    <row r="12" spans="1:10" x14ac:dyDescent="0.2">
      <c r="A12" s="387"/>
      <c r="B12" s="385"/>
      <c r="C12" s="141" t="s">
        <v>29</v>
      </c>
      <c r="D12" s="21" t="s">
        <v>156</v>
      </c>
      <c r="E12" s="138">
        <f>IF(D3&lt;=10000000,IF(A3&gt;64,IF(D1&lt;4100000,0,IF(D1&lt;7700000,ROUNDDOWN(D1*0.85,0)-685000,0)),0),0)</f>
        <v>0</v>
      </c>
      <c r="F12" s="141" t="s">
        <v>163</v>
      </c>
      <c r="G12" s="138">
        <f>IF(AND(D3&lt;=20000000,D3&gt;10000000),IF(A3&gt;64,IF(D1&lt;4100000,0,IF(D1&lt;7700000,ROUNDDOWN(D1*0.85,0)-585000,0)),0),0)</f>
        <v>0</v>
      </c>
      <c r="H12" s="141" t="s">
        <v>171</v>
      </c>
      <c r="I12" s="138">
        <f>IF(D3&gt;20000000,IF(A3&gt;64,IF(D1&lt;4100000,0,IF(D1&lt;7700000,ROUNDDOWN(D1*0.85,0)-485000,0)),0),0)</f>
        <v>0</v>
      </c>
      <c r="J12" s="145"/>
    </row>
    <row r="13" spans="1:10" x14ac:dyDescent="0.2">
      <c r="A13" s="387"/>
      <c r="B13" s="385"/>
      <c r="C13" s="141" t="s">
        <v>150</v>
      </c>
      <c r="D13" s="21" t="s">
        <v>157</v>
      </c>
      <c r="E13" s="138">
        <f>IF(D3&lt;=10000000,IF(A3&gt;64,IF(D1&lt;7700000,0,IF(D1&lt;10000000,ROUNDDOWN(D1*0.95,0)-1455000,0)),0),0)</f>
        <v>0</v>
      </c>
      <c r="F13" s="141" t="s">
        <v>164</v>
      </c>
      <c r="G13" s="138">
        <f>IF(AND(D3&lt;=20000000,D3&gt;10000000),IF(A3&gt;64,IF(D1&lt;7700000,0,IF(D1&lt;10000000,ROUNDDOWN(D1*0.95,0)-1355000,0)),0),0)</f>
        <v>0</v>
      </c>
      <c r="H13" s="141" t="s">
        <v>172</v>
      </c>
      <c r="I13" s="138">
        <f>IF(D3&gt;20000000,IF(A3&gt;64,IF(D1&lt;7700000,0,IF(D1&lt;10000000,ROUNDDOWN(D1*0.95,0)-1255000,0)),0),0)</f>
        <v>0</v>
      </c>
      <c r="J13" s="145"/>
    </row>
    <row r="14" spans="1:10" x14ac:dyDescent="0.2">
      <c r="A14" s="387"/>
      <c r="B14" s="386"/>
      <c r="C14" s="141" t="s">
        <v>151</v>
      </c>
      <c r="D14" s="21" t="s">
        <v>158</v>
      </c>
      <c r="E14" s="138">
        <f>IF(D3&lt;=10000000,IF(A3&gt;64,IF(D1&lt;10000000,0,IF(D1&gt;9999999,D1-1955000,0)),0),0)</f>
        <v>0</v>
      </c>
      <c r="F14" s="141" t="s">
        <v>165</v>
      </c>
      <c r="G14" s="138">
        <f>IF(AND(D3&lt;=20000000,D3&gt;10000000),IF(A3&gt;64,IF(D1&lt;10000000,0,IF(D1&gt;9999999,D1-1855000,0)),0),0)</f>
        <v>0</v>
      </c>
      <c r="H14" s="141" t="s">
        <v>173</v>
      </c>
      <c r="I14" s="138">
        <f>IF(D3&gt;20000000,IF(A3&gt;64,IF(D1&lt;10000000,0,IF(D1&gt;9999999,D1-1755000,0)),0),0)</f>
        <v>0</v>
      </c>
      <c r="J14" s="145"/>
    </row>
    <row r="15" spans="1:10" ht="13.5" thickBot="1" x14ac:dyDescent="0.25">
      <c r="B15" s="143"/>
      <c r="C15" s="143"/>
      <c r="D15" s="143"/>
      <c r="E15" s="143"/>
      <c r="F15" s="143"/>
      <c r="G15" s="143"/>
      <c r="H15" s="143"/>
    </row>
    <row r="16" spans="1:10" ht="13.5" thickBot="1" x14ac:dyDescent="0.25">
      <c r="A16" s="144"/>
      <c r="B16" s="145"/>
      <c r="C16" s="146" t="s">
        <v>153</v>
      </c>
      <c r="D16" s="160">
        <f>計算シート!P12</f>
        <v>0</v>
      </c>
      <c r="E16" s="147"/>
      <c r="F16" s="164" t="s">
        <v>182</v>
      </c>
      <c r="G16" s="163" t="str">
        <f>IF(計算シート!AF12="","",SUM(E20:E29,G20:G29,I20:I29))</f>
        <v/>
      </c>
      <c r="H16" s="165" t="s">
        <v>1</v>
      </c>
      <c r="I16" s="145"/>
    </row>
    <row r="17" spans="1:9" ht="13.5" thickBot="1" x14ac:dyDescent="0.25">
      <c r="A17" s="382" t="s">
        <v>25</v>
      </c>
      <c r="B17" s="382"/>
      <c r="C17" s="139" t="s">
        <v>35</v>
      </c>
      <c r="D17" s="161" t="str">
        <f>IF(計算シート!AF12="","",計算シート!AF12)</f>
        <v/>
      </c>
      <c r="E17" s="29"/>
      <c r="F17" s="29"/>
      <c r="G17" s="29"/>
      <c r="H17" s="29"/>
      <c r="I17" s="145"/>
    </row>
    <row r="18" spans="1:9" x14ac:dyDescent="0.2">
      <c r="A18" s="383" t="str">
        <f>IFERROR(IF(D17="","",DATEDIF($D17,$J$2,"Y")),0)</f>
        <v/>
      </c>
      <c r="B18" s="383"/>
      <c r="C18" s="148" t="s">
        <v>149</v>
      </c>
      <c r="D18" s="162">
        <f>IF(計算シート!K12="",計算シート!C12+0+計算シート!X12,計算シート!C12+計算シート!K12+計算シート!X12)</f>
        <v>0</v>
      </c>
      <c r="E18" s="147"/>
      <c r="F18" s="147"/>
      <c r="G18" s="147"/>
      <c r="H18" s="147"/>
      <c r="I18" s="145"/>
    </row>
    <row r="19" spans="1:9" x14ac:dyDescent="0.2">
      <c r="A19" s="384" t="s">
        <v>167</v>
      </c>
      <c r="B19" s="384"/>
      <c r="C19" s="384"/>
      <c r="D19" s="381" t="s">
        <v>160</v>
      </c>
      <c r="E19" s="381"/>
      <c r="F19" s="382" t="s">
        <v>161</v>
      </c>
      <c r="G19" s="382"/>
      <c r="H19" s="381" t="s">
        <v>175</v>
      </c>
      <c r="I19" s="381"/>
    </row>
    <row r="20" spans="1:9" x14ac:dyDescent="0.2">
      <c r="A20" s="387" t="s">
        <v>152</v>
      </c>
      <c r="B20" s="383" t="s">
        <v>26</v>
      </c>
      <c r="C20" s="141" t="s">
        <v>27</v>
      </c>
      <c r="D20" s="21" t="s">
        <v>154</v>
      </c>
      <c r="E20" s="138">
        <f>IF(D18&lt;=10000000,IF(A18&lt;65,IF(D16&lt;600000,0,IF(D16&lt;1300000,D16-600000,0)),0),0)</f>
        <v>0</v>
      </c>
      <c r="F20" s="141" t="s">
        <v>169</v>
      </c>
      <c r="G20" s="138">
        <f>IF(AND(D18&lt;=20000000,D18&gt;10000000),IF(A18&lt;65,IF(D16&lt;500000,0,IF(D16&lt;1300000,D16-500000,0)),0),0)</f>
        <v>0</v>
      </c>
      <c r="H20" s="141" t="s">
        <v>168</v>
      </c>
      <c r="I20" s="138">
        <f>IF(D18&gt;20000000,IF(A18&lt;65,IF(D16&lt;400000,0,IF(D16&lt;1300000,D16-400000,0)),0),0)</f>
        <v>0</v>
      </c>
    </row>
    <row r="21" spans="1:9" x14ac:dyDescent="0.2">
      <c r="A21" s="387"/>
      <c r="B21" s="385"/>
      <c r="C21" s="141" t="s">
        <v>28</v>
      </c>
      <c r="D21" s="21" t="s">
        <v>155</v>
      </c>
      <c r="E21" s="138">
        <f>IF(D18&lt;=10000000,IF(A18&lt;65,IF(D16&lt;1300000,0,IF(D16&lt;4100000,ROUNDDOWN(D16*0.75,0)-275000,0)),0),0)</f>
        <v>0</v>
      </c>
      <c r="F21" s="141" t="s">
        <v>162</v>
      </c>
      <c r="G21" s="138">
        <f>IF(AND(D18&lt;=20000000,D18&gt;10000000),IF(A18&lt;65,IF(D16&lt;1300000,0,IF(D16&lt;4100000,ROUNDDOWN(D16*0.75,0)-175000,0)),0),0)</f>
        <v>0</v>
      </c>
      <c r="H21" s="141" t="s">
        <v>170</v>
      </c>
      <c r="I21" s="138">
        <f>IF(D18&gt;20000000,IF(A18&lt;65,IF(D16&lt;1300000,0,IF(D16&lt;4100000,ROUNDDOWN(D16*0.75,0)-75000,0)),0),0)</f>
        <v>0</v>
      </c>
    </row>
    <row r="22" spans="1:9" x14ac:dyDescent="0.2">
      <c r="A22" s="387"/>
      <c r="B22" s="385"/>
      <c r="C22" s="141" t="s">
        <v>29</v>
      </c>
      <c r="D22" s="21" t="s">
        <v>156</v>
      </c>
      <c r="E22" s="138">
        <f>IF(D18&lt;=10000000,IF(A18&lt;65,IF(D16&lt;4100000,0,IF(D16&lt;7700000,ROUNDDOWN(D16*0.85,0)-685000,0)),0),0)</f>
        <v>0</v>
      </c>
      <c r="F22" s="141" t="s">
        <v>163</v>
      </c>
      <c r="G22" s="138">
        <f>IF(AND(D18&lt;=20000000,D18&gt;10000000),IF(A18&lt;65,IF(D16&lt;4100000,0,IF(D16&lt;7700000,ROUNDDOWN(D16*0.85,0)-585000,0)),0),0)</f>
        <v>0</v>
      </c>
      <c r="H22" s="141" t="s">
        <v>171</v>
      </c>
      <c r="I22" s="138">
        <f>IF(D18&gt;20000000,IF(A18&lt;65,IF(D16&lt;4100000,0,IF(D16&lt;7700000,ROUNDDOWN(D16*0.85,0)-485000,0)),0),0)</f>
        <v>0</v>
      </c>
    </row>
    <row r="23" spans="1:9" x14ac:dyDescent="0.2">
      <c r="A23" s="387"/>
      <c r="B23" s="385"/>
      <c r="C23" s="141" t="s">
        <v>150</v>
      </c>
      <c r="D23" s="21" t="s">
        <v>157</v>
      </c>
      <c r="E23" s="138">
        <f>IF(D18&lt;=10000000,IF(A18&lt;65,IF(D16&lt;7700000,0,IF(D16&lt;10000000,ROUNDDOWN(D16*0.95,0)-1455000,0)),0),0)</f>
        <v>0</v>
      </c>
      <c r="F23" s="141" t="s">
        <v>164</v>
      </c>
      <c r="G23" s="138">
        <f>IF(AND(D18&lt;=20000000,D18&gt;10000000),IF(A18&lt;65,IF(D16&lt;7700000,0,IF(D16&lt;10000000,ROUNDDOWN(D16*0.95,0)-1355000,0)),0),0)</f>
        <v>0</v>
      </c>
      <c r="H23" s="141" t="s">
        <v>172</v>
      </c>
      <c r="I23" s="138">
        <f>IF(D18&gt;20000000,IF(A18&lt;65,IF(D16&lt;7700000,0,IF(D16&lt;10000000,ROUNDDOWN(D16*0.95,0)-1255000,0)),0),0)</f>
        <v>0</v>
      </c>
    </row>
    <row r="24" spans="1:9" x14ac:dyDescent="0.2">
      <c r="A24" s="387"/>
      <c r="B24" s="386"/>
      <c r="C24" s="141" t="s">
        <v>151</v>
      </c>
      <c r="D24" s="21" t="s">
        <v>158</v>
      </c>
      <c r="E24" s="138">
        <f>IF(D18&lt;=10000000,IF(A18&lt;65,IF(D16&lt;10000000,0,IF(D16&gt;9999999,D16-1955000,0)),0),0)</f>
        <v>0</v>
      </c>
      <c r="F24" s="141" t="s">
        <v>165</v>
      </c>
      <c r="G24" s="138">
        <f>IF(AND(D18&lt;=20000000,D18&gt;10000000),IF(A18&lt;65,IF(D16&lt;10000000,0,IF(D16&gt;9999999,D16-1855000,0)),0),0)</f>
        <v>0</v>
      </c>
      <c r="H24" s="141" t="s">
        <v>173</v>
      </c>
      <c r="I24" s="138">
        <f>IF(D18&gt;20000000,IF(A18&lt;65,IF(D16&lt;10000000,0,IF(D16&gt;9999999,D16-1755000,0)),0),0)</f>
        <v>0</v>
      </c>
    </row>
    <row r="25" spans="1:9" x14ac:dyDescent="0.2">
      <c r="A25" s="387"/>
      <c r="B25" s="383" t="s">
        <v>30</v>
      </c>
      <c r="C25" s="141" t="s">
        <v>31</v>
      </c>
      <c r="D25" s="21" t="s">
        <v>159</v>
      </c>
      <c r="E25" s="138">
        <f>IF(D18&lt;=10000000,IF(A18&gt;64,IF(D16&lt;1100000,0,IF(D16&lt;3300000,D16-1100000,0)),0),0)</f>
        <v>0</v>
      </c>
      <c r="F25" s="141" t="s">
        <v>166</v>
      </c>
      <c r="G25" s="138">
        <f>IF(AND(D18&lt;=20000000,D18&gt;10000000),IF(A18&gt;64,IF(D16&lt;1000000,0,IF(D16&lt;3300000,D16-1000000,0)),0),0)</f>
        <v>0</v>
      </c>
      <c r="H25" s="141" t="s">
        <v>174</v>
      </c>
      <c r="I25" s="138">
        <f>IF(D18&gt;20000000,IF(A18&gt;64,IF(D16&lt;900000,0,IF(D16&lt;3300000,D16-900000,0)),0),0)</f>
        <v>0</v>
      </c>
    </row>
    <row r="26" spans="1:9" x14ac:dyDescent="0.2">
      <c r="A26" s="387"/>
      <c r="B26" s="385"/>
      <c r="C26" s="141" t="s">
        <v>32</v>
      </c>
      <c r="D26" s="21" t="s">
        <v>155</v>
      </c>
      <c r="E26" s="138">
        <f>IF(D18&lt;=10000000,IF(A18&gt;64,IF(D16&lt;3300000,0,IF(D16&lt;4100000,ROUNDDOWN(D16*0.75,0)-275000,0)),0),0)</f>
        <v>0</v>
      </c>
      <c r="F26" s="141" t="s">
        <v>162</v>
      </c>
      <c r="G26" s="138">
        <f>IF(AND(D18&lt;=20000000,D18&gt;10000000),IF(A18&gt;64,IF(D16&lt;3300000,0,IF(D16&lt;4100000,ROUNDDOWN(D16*0.75,0)-175000,0)),0),0)</f>
        <v>0</v>
      </c>
      <c r="H26" s="141" t="s">
        <v>170</v>
      </c>
      <c r="I26" s="138">
        <f>IF(D18&gt;20000000,IF(A18&gt;64,IF(D16&lt;3300000,0,IF(D16&lt;4100000,ROUNDDOWN(D16*0.75,0)-75000,0)),0),0)</f>
        <v>0</v>
      </c>
    </row>
    <row r="27" spans="1:9" x14ac:dyDescent="0.2">
      <c r="A27" s="387"/>
      <c r="B27" s="385"/>
      <c r="C27" s="141" t="s">
        <v>29</v>
      </c>
      <c r="D27" s="21" t="s">
        <v>156</v>
      </c>
      <c r="E27" s="138">
        <f>IF(D18&lt;=10000000,IF(A18&gt;64,IF(D16&lt;4100000,0,IF(D16&lt;7700000,ROUNDDOWN(D16*0.85,0)-685000,0)),0),0)</f>
        <v>0</v>
      </c>
      <c r="F27" s="141" t="s">
        <v>163</v>
      </c>
      <c r="G27" s="138">
        <f>IF(AND(D18&lt;=20000000,D18&gt;10000000),IF(A18&gt;64,IF(D16&lt;4100000,0,IF(D16&lt;7700000,ROUNDDOWN(D16*0.85,0)-585000,0)),0),0)</f>
        <v>0</v>
      </c>
      <c r="H27" s="141" t="s">
        <v>171</v>
      </c>
      <c r="I27" s="138">
        <f>IF(D18&gt;20000000,IF(A18&gt;64,IF(D16&lt;4100000,0,IF(D16&lt;7700000,ROUNDDOWN(D16*0.85,0)-485000,0)),0),0)</f>
        <v>0</v>
      </c>
    </row>
    <row r="28" spans="1:9" x14ac:dyDescent="0.2">
      <c r="A28" s="387"/>
      <c r="B28" s="385"/>
      <c r="C28" s="141" t="s">
        <v>150</v>
      </c>
      <c r="D28" s="21" t="s">
        <v>157</v>
      </c>
      <c r="E28" s="138">
        <f>IF(D18&lt;=10000000,IF(A18&gt;64,IF(D16&lt;7700000,0,IF(D16&lt;10000000,ROUNDDOWN(D16*0.95,0)-1455000,0)),0),0)</f>
        <v>0</v>
      </c>
      <c r="F28" s="141" t="s">
        <v>164</v>
      </c>
      <c r="G28" s="138">
        <f>IF(AND(D18&lt;=20000000,D18&gt;10000000),IF(A18&gt;64,IF(D16&lt;7700000,0,IF(D16&lt;10000000,ROUNDDOWN(D16*0.95,0)-1355000,0)),0),0)</f>
        <v>0</v>
      </c>
      <c r="H28" s="141" t="s">
        <v>172</v>
      </c>
      <c r="I28" s="138">
        <f>IF(D18&gt;20000000,IF(A18&gt;64,IF(D16&lt;7700000,0,IF(D16&lt;10000000,ROUNDDOWN(D16*0.95,0)-1255000,0)),0),0)</f>
        <v>0</v>
      </c>
    </row>
    <row r="29" spans="1:9" x14ac:dyDescent="0.2">
      <c r="A29" s="387"/>
      <c r="B29" s="386"/>
      <c r="C29" s="141" t="s">
        <v>151</v>
      </c>
      <c r="D29" s="21" t="s">
        <v>158</v>
      </c>
      <c r="E29" s="138">
        <f>IF(D18&lt;=10000000,IF(A18&gt;64,IF(D16&lt;10000000,0,IF(D16&gt;9999999,D16-1955000,0)),0),0)</f>
        <v>0</v>
      </c>
      <c r="F29" s="141" t="s">
        <v>165</v>
      </c>
      <c r="G29" s="138">
        <f>IF(AND(D18&lt;=20000000,D18&gt;10000000),IF(A18&gt;64,IF(D16&lt;10000000,0,IF(D16&gt;9999999,D16-1855000,0)),0),0)</f>
        <v>0</v>
      </c>
      <c r="H29" s="141" t="s">
        <v>173</v>
      </c>
      <c r="I29" s="138">
        <f>IF(D18&gt;20000000,IF(A18&gt;64,IF(D16&lt;10000000,0,IF(D16&gt;9999999,D16-1755000,0)),0),0)</f>
        <v>0</v>
      </c>
    </row>
    <row r="30" spans="1:9" ht="13.5" thickBot="1" x14ac:dyDescent="0.25">
      <c r="B30" s="143"/>
      <c r="C30" s="143"/>
      <c r="D30" s="143"/>
      <c r="E30" s="143"/>
      <c r="F30" s="143"/>
      <c r="G30" s="143"/>
      <c r="H30" s="143"/>
    </row>
    <row r="31" spans="1:9" ht="13.5" thickBot="1" x14ac:dyDescent="0.25">
      <c r="A31" s="144"/>
      <c r="B31" s="145"/>
      <c r="C31" s="146" t="s">
        <v>153</v>
      </c>
      <c r="D31" s="160">
        <f>計算シート!P13</f>
        <v>0</v>
      </c>
      <c r="E31" s="147"/>
      <c r="F31" s="164" t="s">
        <v>183</v>
      </c>
      <c r="G31" s="163" t="str">
        <f>IF(計算シート!AF13="","",SUM(E35:E44,G35:G44,I35:I44))</f>
        <v/>
      </c>
      <c r="H31" s="165" t="s">
        <v>1</v>
      </c>
      <c r="I31" s="145"/>
    </row>
    <row r="32" spans="1:9" ht="13.5" thickBot="1" x14ac:dyDescent="0.25">
      <c r="A32" s="382" t="s">
        <v>25</v>
      </c>
      <c r="B32" s="382"/>
      <c r="C32" s="139" t="s">
        <v>35</v>
      </c>
      <c r="D32" s="161" t="str">
        <f>IF(計算シート!AF13="","",計算シート!AF13)</f>
        <v/>
      </c>
      <c r="E32" s="29"/>
      <c r="F32" s="29"/>
      <c r="G32" s="29"/>
      <c r="H32" s="29"/>
      <c r="I32" s="145"/>
    </row>
    <row r="33" spans="1:9" x14ac:dyDescent="0.2">
      <c r="A33" s="383" t="str">
        <f>IFERROR(IF(D32="","",DATEDIF($D32,$J$2,"Y")),0)</f>
        <v/>
      </c>
      <c r="B33" s="383"/>
      <c r="C33" s="148" t="s">
        <v>149</v>
      </c>
      <c r="D33" s="162">
        <f>IF(計算シート!K13="",計算シート!C13+0+計算シート!X13,計算シート!C13+計算シート!K13+計算シート!X13)</f>
        <v>0</v>
      </c>
      <c r="E33" s="147"/>
      <c r="F33" s="147"/>
      <c r="G33" s="147"/>
      <c r="H33" s="147"/>
      <c r="I33" s="145"/>
    </row>
    <row r="34" spans="1:9" x14ac:dyDescent="0.2">
      <c r="A34" s="384" t="s">
        <v>167</v>
      </c>
      <c r="B34" s="384"/>
      <c r="C34" s="384"/>
      <c r="D34" s="381" t="s">
        <v>160</v>
      </c>
      <c r="E34" s="381"/>
      <c r="F34" s="382" t="s">
        <v>161</v>
      </c>
      <c r="G34" s="382"/>
      <c r="H34" s="381" t="s">
        <v>175</v>
      </c>
      <c r="I34" s="381"/>
    </row>
    <row r="35" spans="1:9" x14ac:dyDescent="0.2">
      <c r="A35" s="387" t="s">
        <v>152</v>
      </c>
      <c r="B35" s="383" t="s">
        <v>26</v>
      </c>
      <c r="C35" s="141" t="s">
        <v>27</v>
      </c>
      <c r="D35" s="21" t="s">
        <v>154</v>
      </c>
      <c r="E35" s="138">
        <f>IF(D33&lt;=10000000,IF(A33&lt;65,IF(D31&lt;600000,0,IF(D31&lt;1300000,D31-600000,0)),0),0)</f>
        <v>0</v>
      </c>
      <c r="F35" s="141" t="s">
        <v>169</v>
      </c>
      <c r="G35" s="138">
        <f>IF(AND(D33&lt;=20000000,D33&gt;10000000),IF(A33&lt;65,IF(D31&lt;500000,0,IF(D31&lt;1300000,D31-500000,0)),0),0)</f>
        <v>0</v>
      </c>
      <c r="H35" s="141" t="s">
        <v>168</v>
      </c>
      <c r="I35" s="138">
        <f>IF(D33&gt;20000000,IF(A33&lt;65,IF(D31&lt;400000,0,IF(D31&lt;1300000,D31-400000,0)),0),0)</f>
        <v>0</v>
      </c>
    </row>
    <row r="36" spans="1:9" x14ac:dyDescent="0.2">
      <c r="A36" s="387"/>
      <c r="B36" s="385"/>
      <c r="C36" s="141" t="s">
        <v>28</v>
      </c>
      <c r="D36" s="21" t="s">
        <v>155</v>
      </c>
      <c r="E36" s="138">
        <f>IF(D33&lt;=10000000,IF(A33&lt;65,IF(D31&lt;1300000,0,IF(D31&lt;4100000,ROUNDDOWN(D31*0.75,0)-275000,0)),0),0)</f>
        <v>0</v>
      </c>
      <c r="F36" s="141" t="s">
        <v>162</v>
      </c>
      <c r="G36" s="138">
        <f>IF(AND(D33&lt;=20000000,D33&gt;10000000),IF(A33&lt;65,IF(D31&lt;1300000,0,IF(D31&lt;4100000,ROUNDDOWN(D31*0.75,0)-175000,0)),0),0)</f>
        <v>0</v>
      </c>
      <c r="H36" s="141" t="s">
        <v>170</v>
      </c>
      <c r="I36" s="138">
        <f>IF(D33&gt;20000000,IF(A33&lt;65,IF(D31&lt;1300000,0,IF(D31&lt;4100000,ROUNDDOWN(D31*0.75,0)-75000,0)),0),0)</f>
        <v>0</v>
      </c>
    </row>
    <row r="37" spans="1:9" x14ac:dyDescent="0.2">
      <c r="A37" s="387"/>
      <c r="B37" s="385"/>
      <c r="C37" s="141" t="s">
        <v>29</v>
      </c>
      <c r="D37" s="21" t="s">
        <v>156</v>
      </c>
      <c r="E37" s="138">
        <f>IF(D33&lt;=10000000,IF(A33&lt;65,IF(D31&lt;4100000,0,IF(D31&lt;7700000,ROUNDDOWN(D31*0.85,0)-685000,0)),0),0)</f>
        <v>0</v>
      </c>
      <c r="F37" s="141" t="s">
        <v>163</v>
      </c>
      <c r="G37" s="138">
        <f>IF(AND(D33&lt;=20000000,D33&gt;10000000),IF(A33&lt;65,IF(D31&lt;4100000,0,IF(D31&lt;7700000,ROUNDDOWN(D31*0.85,0)-585000,0)),0),0)</f>
        <v>0</v>
      </c>
      <c r="H37" s="141" t="s">
        <v>171</v>
      </c>
      <c r="I37" s="138">
        <f>IF(D33&gt;20000000,IF(A33&lt;65,IF(D31&lt;4100000,0,IF(D31&lt;7700000,ROUNDDOWN(D31*0.85,0)-485000,0)),0),0)</f>
        <v>0</v>
      </c>
    </row>
    <row r="38" spans="1:9" x14ac:dyDescent="0.2">
      <c r="A38" s="387"/>
      <c r="B38" s="385"/>
      <c r="C38" s="141" t="s">
        <v>150</v>
      </c>
      <c r="D38" s="21" t="s">
        <v>157</v>
      </c>
      <c r="E38" s="138">
        <f>IF(D33&lt;=10000000,IF(A33&lt;65,IF(D31&lt;7700000,0,IF(D31&lt;10000000,ROUNDDOWN(D31*0.95,0)-1455000,0)),0),0)</f>
        <v>0</v>
      </c>
      <c r="F38" s="141" t="s">
        <v>164</v>
      </c>
      <c r="G38" s="138">
        <f>IF(AND(D33&lt;=20000000,D33&gt;10000000),IF(A33&lt;65,IF(D31&lt;7700000,0,IF(D31&lt;10000000,ROUNDDOWN(D31*0.95,0)-1355000,0)),0),0)</f>
        <v>0</v>
      </c>
      <c r="H38" s="141" t="s">
        <v>172</v>
      </c>
      <c r="I38" s="138">
        <f>IF(D33&gt;20000000,IF(A33&lt;65,IF(D31&lt;7700000,0,IF(D31&lt;10000000,ROUNDDOWN(D31*0.95,0)-1255000,0)),0),0)</f>
        <v>0</v>
      </c>
    </row>
    <row r="39" spans="1:9" x14ac:dyDescent="0.2">
      <c r="A39" s="387"/>
      <c r="B39" s="386"/>
      <c r="C39" s="141" t="s">
        <v>151</v>
      </c>
      <c r="D39" s="21" t="s">
        <v>158</v>
      </c>
      <c r="E39" s="138">
        <f>IF(D33&lt;=10000000,IF(A33&lt;65,IF(D31&lt;10000000,0,IF(D31&gt;9999999,D31-1955000,0)),0),0)</f>
        <v>0</v>
      </c>
      <c r="F39" s="141" t="s">
        <v>165</v>
      </c>
      <c r="G39" s="138">
        <f>IF(AND(D33&lt;=20000000,D33&gt;10000000),IF(A33&lt;65,IF(D31&lt;10000000,0,IF(D31&gt;9999999,D31-1855000,0)),0),0)</f>
        <v>0</v>
      </c>
      <c r="H39" s="141" t="s">
        <v>173</v>
      </c>
      <c r="I39" s="138">
        <f>IF(D33&gt;20000000,IF(A33&lt;65,IF(D31&lt;10000000,0,IF(D31&gt;9999999,D31-1755000,0)),0),0)</f>
        <v>0</v>
      </c>
    </row>
    <row r="40" spans="1:9" x14ac:dyDescent="0.2">
      <c r="A40" s="387"/>
      <c r="B40" s="383" t="s">
        <v>30</v>
      </c>
      <c r="C40" s="141" t="s">
        <v>31</v>
      </c>
      <c r="D40" s="21" t="s">
        <v>159</v>
      </c>
      <c r="E40" s="138">
        <f>IF(D33&lt;=10000000,IF(A33&gt;64,IF(D31&lt;1100000,0,IF(D31&lt;3300000,D31-1100000,0)),0),0)</f>
        <v>0</v>
      </c>
      <c r="F40" s="141" t="s">
        <v>166</v>
      </c>
      <c r="G40" s="138">
        <f>IF(AND(D33&lt;=20000000,D33&gt;10000000),IF(A33&gt;64,IF(D31&lt;1000000,0,IF(D31&lt;3300000,D31-1000000,0)),0),0)</f>
        <v>0</v>
      </c>
      <c r="H40" s="141" t="s">
        <v>174</v>
      </c>
      <c r="I40" s="138">
        <f>IF(D33&gt;20000000,IF(A33&gt;64,IF(D31&lt;900000,0,IF(D31&lt;3300000,D31-900000,0)),0),0)</f>
        <v>0</v>
      </c>
    </row>
    <row r="41" spans="1:9" x14ac:dyDescent="0.2">
      <c r="A41" s="387"/>
      <c r="B41" s="385"/>
      <c r="C41" s="141" t="s">
        <v>32</v>
      </c>
      <c r="D41" s="21" t="s">
        <v>155</v>
      </c>
      <c r="E41" s="138">
        <f>IF(D33&lt;=10000000,IF(A33&gt;64,IF(D31&lt;3300000,0,IF(D31&lt;4100000,ROUNDDOWN(D31*0.75,0)-275000,0)),0),0)</f>
        <v>0</v>
      </c>
      <c r="F41" s="141" t="s">
        <v>162</v>
      </c>
      <c r="G41" s="138">
        <f>IF(AND(D33&lt;=20000000,D33&gt;10000000),IF(A33&gt;64,IF(D31&lt;3300000,0,IF(D31&lt;4100000,ROUNDDOWN(D31*0.75,0)-175000,0)),0),0)</f>
        <v>0</v>
      </c>
      <c r="H41" s="141" t="s">
        <v>170</v>
      </c>
      <c r="I41" s="138">
        <f>IF(D33&gt;20000000,IF(A33&gt;64,IF(D31&lt;3300000,0,IF(D31&lt;4100000,ROUNDDOWN(D31*0.75,0)-75000,0)),0),0)</f>
        <v>0</v>
      </c>
    </row>
    <row r="42" spans="1:9" x14ac:dyDescent="0.2">
      <c r="A42" s="387"/>
      <c r="B42" s="385"/>
      <c r="C42" s="141" t="s">
        <v>29</v>
      </c>
      <c r="D42" s="21" t="s">
        <v>156</v>
      </c>
      <c r="E42" s="138">
        <f>IF(D33&lt;=10000000,IF(A33&gt;64,IF(D31&lt;4100000,0,IF(D31&lt;7700000,ROUNDDOWN(D31*0.85,0)-685000,0)),0),0)</f>
        <v>0</v>
      </c>
      <c r="F42" s="141" t="s">
        <v>163</v>
      </c>
      <c r="G42" s="138">
        <f>IF(AND(D33&lt;=20000000,D33&gt;10000000),IF(A33&gt;64,IF(D31&lt;4100000,0,IF(D31&lt;7700000,ROUNDDOWN(D31*0.85,0)-585000,0)),0),0)</f>
        <v>0</v>
      </c>
      <c r="H42" s="141" t="s">
        <v>171</v>
      </c>
      <c r="I42" s="138">
        <f>IF(D33&gt;20000000,IF(A33&gt;64,IF(D31&lt;4100000,0,IF(D31&lt;7700000,ROUNDDOWN(D31*0.85,0)-485000,0)),0),0)</f>
        <v>0</v>
      </c>
    </row>
    <row r="43" spans="1:9" x14ac:dyDescent="0.2">
      <c r="A43" s="387"/>
      <c r="B43" s="385"/>
      <c r="C43" s="141" t="s">
        <v>150</v>
      </c>
      <c r="D43" s="21" t="s">
        <v>157</v>
      </c>
      <c r="E43" s="138">
        <f>IF(D33&lt;=10000000,IF(A33&gt;64,IF(D31&lt;7700000,0,IF(D31&lt;10000000,ROUNDDOWN(D31*0.95,0)-1455000,0)),0),0)</f>
        <v>0</v>
      </c>
      <c r="F43" s="141" t="s">
        <v>164</v>
      </c>
      <c r="G43" s="138">
        <f>IF(AND(D33&lt;=20000000,D33&gt;10000000),IF(A33&gt;64,IF(D31&lt;7700000,0,IF(D31&lt;10000000,ROUNDDOWN(D31*0.95,0)-1355000,0)),0),0)</f>
        <v>0</v>
      </c>
      <c r="H43" s="141" t="s">
        <v>172</v>
      </c>
      <c r="I43" s="138">
        <f>IF(D33&gt;20000000,IF(A33&gt;64,IF(D31&lt;7700000,0,IF(D31&lt;10000000,ROUNDDOWN(D31*0.95,0)-1255000,0)),0),0)</f>
        <v>0</v>
      </c>
    </row>
    <row r="44" spans="1:9" x14ac:dyDescent="0.2">
      <c r="A44" s="387"/>
      <c r="B44" s="386"/>
      <c r="C44" s="141" t="s">
        <v>151</v>
      </c>
      <c r="D44" s="21" t="s">
        <v>158</v>
      </c>
      <c r="E44" s="138">
        <f>IF(D33&lt;=10000000,IF(A33&gt;64,IF(D31&lt;10000000,0,IF(D31&gt;9999999,D31-1955000,0)),0),0)</f>
        <v>0</v>
      </c>
      <c r="F44" s="141" t="s">
        <v>165</v>
      </c>
      <c r="G44" s="138">
        <f>IF(AND(D33&lt;=20000000,D33&gt;10000000),IF(A33&gt;64,IF(D31&lt;10000000,0,IF(D31&gt;9999999,D31-1855000,0)),0),0)</f>
        <v>0</v>
      </c>
      <c r="H44" s="141" t="s">
        <v>173</v>
      </c>
      <c r="I44" s="138">
        <f>IF(D33&gt;20000000,IF(A33&gt;64,IF(D31&lt;10000000,0,IF(D31&gt;9999999,D31-1755000,0)),0),0)</f>
        <v>0</v>
      </c>
    </row>
    <row r="45" spans="1:9" ht="13.5" thickBot="1" x14ac:dyDescent="0.25">
      <c r="B45" s="143"/>
      <c r="C45" s="143"/>
      <c r="D45" s="143"/>
      <c r="E45" s="143"/>
      <c r="F45" s="143"/>
      <c r="G45" s="143"/>
      <c r="H45" s="143"/>
    </row>
    <row r="46" spans="1:9" ht="13.5" thickBot="1" x14ac:dyDescent="0.25">
      <c r="A46" s="144"/>
      <c r="B46" s="145"/>
      <c r="C46" s="146" t="s">
        <v>153</v>
      </c>
      <c r="D46" s="160">
        <f>計算シート!P14</f>
        <v>0</v>
      </c>
      <c r="E46" s="147"/>
      <c r="F46" s="164" t="s">
        <v>184</v>
      </c>
      <c r="G46" s="163" t="str">
        <f>IF(計算シート!AF14="","",SUM(E50:E59,G50:G59,I50:I59))</f>
        <v/>
      </c>
      <c r="H46" s="165" t="s">
        <v>1</v>
      </c>
      <c r="I46" s="145"/>
    </row>
    <row r="47" spans="1:9" ht="13.5" thickBot="1" x14ac:dyDescent="0.25">
      <c r="A47" s="382" t="s">
        <v>25</v>
      </c>
      <c r="B47" s="382"/>
      <c r="C47" s="139" t="s">
        <v>35</v>
      </c>
      <c r="D47" s="161" t="str">
        <f>IF(計算シート!AF14="","",計算シート!AF14)</f>
        <v/>
      </c>
      <c r="E47" s="29"/>
      <c r="F47" s="29"/>
      <c r="G47" s="29"/>
      <c r="H47" s="29"/>
      <c r="I47" s="145"/>
    </row>
    <row r="48" spans="1:9" x14ac:dyDescent="0.2">
      <c r="A48" s="383" t="str">
        <f>IFERROR(IF(D47="","",DATEDIF($D47,$J$2,"Y")),0)</f>
        <v/>
      </c>
      <c r="B48" s="383"/>
      <c r="C48" s="148" t="s">
        <v>149</v>
      </c>
      <c r="D48" s="162">
        <f>IF(計算シート!K14="",計算シート!C14+0+計算シート!X14,計算シート!C14+計算シート!K14+計算シート!X14)</f>
        <v>0</v>
      </c>
      <c r="E48" s="147"/>
      <c r="F48" s="147"/>
      <c r="G48" s="147"/>
      <c r="H48" s="147"/>
      <c r="I48" s="145"/>
    </row>
    <row r="49" spans="1:9" x14ac:dyDescent="0.2">
      <c r="A49" s="384" t="s">
        <v>167</v>
      </c>
      <c r="B49" s="384"/>
      <c r="C49" s="384"/>
      <c r="D49" s="381" t="s">
        <v>160</v>
      </c>
      <c r="E49" s="381"/>
      <c r="F49" s="382" t="s">
        <v>161</v>
      </c>
      <c r="G49" s="382"/>
      <c r="H49" s="381" t="s">
        <v>175</v>
      </c>
      <c r="I49" s="381"/>
    </row>
    <row r="50" spans="1:9" x14ac:dyDescent="0.2">
      <c r="A50" s="387" t="s">
        <v>152</v>
      </c>
      <c r="B50" s="383" t="s">
        <v>26</v>
      </c>
      <c r="C50" s="141" t="s">
        <v>27</v>
      </c>
      <c r="D50" s="21" t="s">
        <v>154</v>
      </c>
      <c r="E50" s="138">
        <f>IF(D48&lt;=10000000,IF(A48&lt;65,IF(D46&lt;600000,0,IF(D46&lt;1300000,D46-600000,0)),0),0)</f>
        <v>0</v>
      </c>
      <c r="F50" s="141" t="s">
        <v>169</v>
      </c>
      <c r="G50" s="138">
        <f>IF(AND(D48&lt;=20000000,D48&gt;10000000),IF(A48&lt;65,IF(D46&lt;500000,0,IF(D46&lt;1300000,D46-500000,0)),0),0)</f>
        <v>0</v>
      </c>
      <c r="H50" s="141" t="s">
        <v>168</v>
      </c>
      <c r="I50" s="138">
        <f>IF(D48&gt;20000000,IF(A48&lt;65,IF(D46&lt;400000,0,IF(D46&lt;1300000,D46-400000,0)),0),0)</f>
        <v>0</v>
      </c>
    </row>
    <row r="51" spans="1:9" x14ac:dyDescent="0.2">
      <c r="A51" s="387"/>
      <c r="B51" s="385"/>
      <c r="C51" s="141" t="s">
        <v>28</v>
      </c>
      <c r="D51" s="21" t="s">
        <v>155</v>
      </c>
      <c r="E51" s="138">
        <f>IF(D48&lt;=10000000,IF(A48&lt;65,IF(D46&lt;1300000,0,IF(D46&lt;4100000,ROUNDDOWN(D46*0.75,0)-275000,0)),0),0)</f>
        <v>0</v>
      </c>
      <c r="F51" s="141" t="s">
        <v>162</v>
      </c>
      <c r="G51" s="138">
        <f>IF(AND(D48&lt;=20000000,D48&gt;10000000),IF(A48&lt;65,IF(D46&lt;1300000,0,IF(D46&lt;4100000,ROUNDDOWN(D46*0.75,0)-175000,0)),0),0)</f>
        <v>0</v>
      </c>
      <c r="H51" s="141" t="s">
        <v>170</v>
      </c>
      <c r="I51" s="138">
        <f>IF(D48&gt;20000000,IF(A48&lt;65,IF(D46&lt;1300000,0,IF(D46&lt;4100000,ROUNDDOWN(D46*0.75,0)-75000,0)),0),0)</f>
        <v>0</v>
      </c>
    </row>
    <row r="52" spans="1:9" x14ac:dyDescent="0.2">
      <c r="A52" s="387"/>
      <c r="B52" s="385"/>
      <c r="C52" s="141" t="s">
        <v>29</v>
      </c>
      <c r="D52" s="21" t="s">
        <v>156</v>
      </c>
      <c r="E52" s="138">
        <f>IF(D48&lt;=10000000,IF(A48&lt;65,IF(D46&lt;4100000,0,IF(D46&lt;7700000,ROUNDDOWN(D46*0.85,0)-685000,0)),0),0)</f>
        <v>0</v>
      </c>
      <c r="F52" s="141" t="s">
        <v>163</v>
      </c>
      <c r="G52" s="138">
        <f>IF(AND(D48&lt;=20000000,D48&gt;10000000),IF(A48&lt;65,IF(D46&lt;4100000,0,IF(D46&lt;7700000,ROUNDDOWN(D46*0.85,0)-585000,0)),0),0)</f>
        <v>0</v>
      </c>
      <c r="H52" s="141" t="s">
        <v>171</v>
      </c>
      <c r="I52" s="138">
        <f>IF(D48&gt;20000000,IF(A48&lt;65,IF(D46&lt;4100000,0,IF(D46&lt;7700000,ROUNDDOWN(D46*0.85,0)-485000,0)),0),0)</f>
        <v>0</v>
      </c>
    </row>
    <row r="53" spans="1:9" x14ac:dyDescent="0.2">
      <c r="A53" s="387"/>
      <c r="B53" s="385"/>
      <c r="C53" s="141" t="s">
        <v>150</v>
      </c>
      <c r="D53" s="21" t="s">
        <v>157</v>
      </c>
      <c r="E53" s="138">
        <f>IF(D48&lt;=10000000,IF(A48&lt;65,IF(D46&lt;7700000,0,IF(D46&lt;10000000,ROUNDDOWN(D46*0.95,0)-1455000,0)),0),0)</f>
        <v>0</v>
      </c>
      <c r="F53" s="141" t="s">
        <v>164</v>
      </c>
      <c r="G53" s="138">
        <f>IF(AND(D48&lt;=20000000,D48&gt;10000000),IF(A48&lt;65,IF(D46&lt;7700000,0,IF(D46&lt;10000000,ROUNDDOWN(D46*0.95,0)-1355000,0)),0),0)</f>
        <v>0</v>
      </c>
      <c r="H53" s="141" t="s">
        <v>172</v>
      </c>
      <c r="I53" s="138">
        <f>IF(D48&gt;20000000,IF(A48&lt;65,IF(D46&lt;7700000,0,IF(D46&lt;10000000,ROUNDDOWN(D46*0.95,0)-1255000,0)),0),0)</f>
        <v>0</v>
      </c>
    </row>
    <row r="54" spans="1:9" x14ac:dyDescent="0.2">
      <c r="A54" s="387"/>
      <c r="B54" s="386"/>
      <c r="C54" s="141" t="s">
        <v>151</v>
      </c>
      <c r="D54" s="21" t="s">
        <v>158</v>
      </c>
      <c r="E54" s="138">
        <f>IF(D48&lt;=10000000,IF(A48&lt;65,IF(D46&lt;10000000,0,IF(D46&gt;9999999,D46-1955000,0)),0),0)</f>
        <v>0</v>
      </c>
      <c r="F54" s="141" t="s">
        <v>165</v>
      </c>
      <c r="G54" s="138">
        <f>IF(AND(D48&lt;=20000000,D48&gt;10000000),IF(A48&lt;65,IF(D46&lt;10000000,0,IF(D46&gt;9999999,D46-1855000,0)),0),0)</f>
        <v>0</v>
      </c>
      <c r="H54" s="141" t="s">
        <v>173</v>
      </c>
      <c r="I54" s="138">
        <f>IF(D48&gt;20000000,IF(A48&lt;65,IF(D46&lt;10000000,0,IF(D46&gt;9999999,D46-1755000,0)),0),0)</f>
        <v>0</v>
      </c>
    </row>
    <row r="55" spans="1:9" x14ac:dyDescent="0.2">
      <c r="A55" s="387"/>
      <c r="B55" s="383" t="s">
        <v>30</v>
      </c>
      <c r="C55" s="141" t="s">
        <v>31</v>
      </c>
      <c r="D55" s="21" t="s">
        <v>159</v>
      </c>
      <c r="E55" s="138">
        <f>IF(D48&lt;=10000000,IF(A48&gt;64,IF(D46&lt;1100000,0,IF(D46&lt;3300000,D46-1100000,0)),0),0)</f>
        <v>0</v>
      </c>
      <c r="F55" s="141" t="s">
        <v>166</v>
      </c>
      <c r="G55" s="138">
        <f>IF(AND(D48&lt;=20000000,D48&gt;10000000),IF(A48&gt;64,IF(D46&lt;1000000,0,IF(D46&lt;3300000,D46-1000000,0)),0),0)</f>
        <v>0</v>
      </c>
      <c r="H55" s="141" t="s">
        <v>174</v>
      </c>
      <c r="I55" s="138">
        <f>IF(D48&gt;20000000,IF(A48&gt;64,IF(D46&lt;900000,0,IF(D46&lt;3300000,D46-900000,0)),0),0)</f>
        <v>0</v>
      </c>
    </row>
    <row r="56" spans="1:9" x14ac:dyDescent="0.2">
      <c r="A56" s="387"/>
      <c r="B56" s="385"/>
      <c r="C56" s="141" t="s">
        <v>32</v>
      </c>
      <c r="D56" s="21" t="s">
        <v>155</v>
      </c>
      <c r="E56" s="138">
        <f>IF(D48&lt;=10000000,IF(A48&gt;64,IF(D46&lt;3300000,0,IF(D46&lt;4100000,ROUNDDOWN(D46*0.75,0)-275000,0)),0),0)</f>
        <v>0</v>
      </c>
      <c r="F56" s="141" t="s">
        <v>162</v>
      </c>
      <c r="G56" s="138">
        <f>IF(AND(D48&lt;=20000000,D48&gt;10000000),IF(A48&gt;64,IF(D46&lt;3300000,0,IF(D46&lt;4100000,ROUNDDOWN(D46*0.75,0)-175000,0)),0),0)</f>
        <v>0</v>
      </c>
      <c r="H56" s="141" t="s">
        <v>170</v>
      </c>
      <c r="I56" s="138">
        <f>IF(D48&gt;20000000,IF(A48&gt;64,IF(D46&lt;3300000,0,IF(D46&lt;4100000,ROUNDDOWN(D46*0.75,0)-75000,0)),0),0)</f>
        <v>0</v>
      </c>
    </row>
    <row r="57" spans="1:9" x14ac:dyDescent="0.2">
      <c r="A57" s="387"/>
      <c r="B57" s="385"/>
      <c r="C57" s="141" t="s">
        <v>29</v>
      </c>
      <c r="D57" s="21" t="s">
        <v>156</v>
      </c>
      <c r="E57" s="138">
        <f>IF(D48&lt;=10000000,IF(A48&gt;64,IF(D46&lt;4100000,0,IF(D46&lt;7700000,ROUNDDOWN(D46*0.85,0)-685000,0)),0),0)</f>
        <v>0</v>
      </c>
      <c r="F57" s="141" t="s">
        <v>163</v>
      </c>
      <c r="G57" s="138">
        <f>IF(AND(D48&lt;=20000000,D48&gt;10000000),IF(A48&gt;64,IF(D46&lt;4100000,0,IF(D46&lt;7700000,ROUNDDOWN(D46*0.85,0)-585000,0)),0),0)</f>
        <v>0</v>
      </c>
      <c r="H57" s="141" t="s">
        <v>171</v>
      </c>
      <c r="I57" s="138">
        <f>IF(D48&gt;20000000,IF(A48&gt;64,IF(D46&lt;4100000,0,IF(D46&lt;7700000,ROUNDDOWN(D46*0.85,0)-485000,0)),0),0)</f>
        <v>0</v>
      </c>
    </row>
    <row r="58" spans="1:9" x14ac:dyDescent="0.2">
      <c r="A58" s="387"/>
      <c r="B58" s="385"/>
      <c r="C58" s="141" t="s">
        <v>150</v>
      </c>
      <c r="D58" s="21" t="s">
        <v>157</v>
      </c>
      <c r="E58" s="138">
        <f>IF(D48&lt;=10000000,IF(A48&gt;64,IF(D46&lt;7700000,0,IF(D46&lt;10000000,ROUNDDOWN(D46*0.95,0)-1455000,0)),0),0)</f>
        <v>0</v>
      </c>
      <c r="F58" s="141" t="s">
        <v>164</v>
      </c>
      <c r="G58" s="138">
        <f>IF(AND(D48&lt;=20000000,D48&gt;10000000),IF(A48&gt;64,IF(D46&lt;7700000,0,IF(D46&lt;10000000,ROUNDDOWN(D46*0.95,0)-1355000,0)),0),0)</f>
        <v>0</v>
      </c>
      <c r="H58" s="141" t="s">
        <v>172</v>
      </c>
      <c r="I58" s="138">
        <f>IF(D48&gt;20000000,IF(A48&gt;64,IF(D46&lt;7700000,0,IF(D46&lt;10000000,ROUNDDOWN(D46*0.95,0)-1255000,0)),0),0)</f>
        <v>0</v>
      </c>
    </row>
    <row r="59" spans="1:9" x14ac:dyDescent="0.2">
      <c r="A59" s="387"/>
      <c r="B59" s="386"/>
      <c r="C59" s="141" t="s">
        <v>151</v>
      </c>
      <c r="D59" s="21" t="s">
        <v>158</v>
      </c>
      <c r="E59" s="138">
        <f>IF(D48&lt;=10000000,IF(A48&gt;64,IF(D46&lt;10000000,0,IF(D46&gt;9999999,D46-1955000,0)),0),0)</f>
        <v>0</v>
      </c>
      <c r="F59" s="141" t="s">
        <v>165</v>
      </c>
      <c r="G59" s="138">
        <f>IF(AND(D48&lt;=20000000,D48&gt;10000000),IF(A48&gt;64,IF(D46&lt;10000000,0,IF(D46&gt;9999999,D46-1855000,0)),0),0)</f>
        <v>0</v>
      </c>
      <c r="H59" s="141" t="s">
        <v>173</v>
      </c>
      <c r="I59" s="138">
        <f>IF(D48&gt;20000000,IF(A48&gt;64,IF(D46&lt;10000000,0,IF(D46&gt;9999999,D46-1755000,0)),0),0)</f>
        <v>0</v>
      </c>
    </row>
    <row r="60" spans="1:9" ht="13.5" thickBot="1" x14ac:dyDescent="0.25">
      <c r="B60" s="143"/>
      <c r="C60" s="143"/>
      <c r="D60" s="143"/>
      <c r="E60" s="143"/>
      <c r="F60" s="143"/>
      <c r="G60" s="143"/>
      <c r="H60" s="143"/>
    </row>
    <row r="61" spans="1:9" ht="13.5" thickBot="1" x14ac:dyDescent="0.25">
      <c r="A61" s="144"/>
      <c r="B61" s="145"/>
      <c r="C61" s="146" t="s">
        <v>153</v>
      </c>
      <c r="D61" s="160">
        <f>計算シート!P15</f>
        <v>0</v>
      </c>
      <c r="E61" s="147"/>
      <c r="F61" s="164" t="s">
        <v>185</v>
      </c>
      <c r="G61" s="163" t="str">
        <f>IF(計算シート!AF15="","",SUM(E65:E74,G65:G74,I65:I74))</f>
        <v/>
      </c>
      <c r="H61" s="165" t="s">
        <v>1</v>
      </c>
      <c r="I61" s="145"/>
    </row>
    <row r="62" spans="1:9" ht="13.5" thickBot="1" x14ac:dyDescent="0.25">
      <c r="A62" s="382" t="s">
        <v>25</v>
      </c>
      <c r="B62" s="382"/>
      <c r="C62" s="139" t="s">
        <v>35</v>
      </c>
      <c r="D62" s="161" t="str">
        <f>IF(計算シート!AF15="","",計算シート!AF15)</f>
        <v/>
      </c>
      <c r="E62" s="29"/>
      <c r="F62" s="29"/>
      <c r="G62" s="29"/>
      <c r="H62" s="29"/>
      <c r="I62" s="145"/>
    </row>
    <row r="63" spans="1:9" x14ac:dyDescent="0.2">
      <c r="A63" s="383" t="str">
        <f>IFERROR(IF(D62="","",DATEDIF($D62,$J$2,"Y")),0)</f>
        <v/>
      </c>
      <c r="B63" s="383"/>
      <c r="C63" s="148" t="s">
        <v>149</v>
      </c>
      <c r="D63" s="162">
        <f>IF(計算シート!K15="",計算シート!C15+0+計算シート!X15,計算シート!C15+計算シート!K15+計算シート!X15)</f>
        <v>0</v>
      </c>
      <c r="E63" s="147"/>
      <c r="F63" s="147"/>
      <c r="G63" s="147"/>
      <c r="H63" s="147"/>
      <c r="I63" s="145"/>
    </row>
    <row r="64" spans="1:9" x14ac:dyDescent="0.2">
      <c r="A64" s="384" t="s">
        <v>167</v>
      </c>
      <c r="B64" s="384"/>
      <c r="C64" s="384"/>
      <c r="D64" s="381" t="s">
        <v>160</v>
      </c>
      <c r="E64" s="381"/>
      <c r="F64" s="382" t="s">
        <v>161</v>
      </c>
      <c r="G64" s="382"/>
      <c r="H64" s="381" t="s">
        <v>175</v>
      </c>
      <c r="I64" s="381"/>
    </row>
    <row r="65" spans="1:9" x14ac:dyDescent="0.2">
      <c r="A65" s="387" t="s">
        <v>152</v>
      </c>
      <c r="B65" s="383" t="s">
        <v>26</v>
      </c>
      <c r="C65" s="141" t="s">
        <v>27</v>
      </c>
      <c r="D65" s="21" t="s">
        <v>154</v>
      </c>
      <c r="E65" s="138">
        <f>IF(D63&lt;=10000000,IF(A63&lt;65,IF(D61&lt;600000,0,IF(D61&lt;1300000,D61-600000,0)),0),0)</f>
        <v>0</v>
      </c>
      <c r="F65" s="141" t="s">
        <v>169</v>
      </c>
      <c r="G65" s="138">
        <f>IF(AND(D63&lt;=20000000,D63&gt;10000000),IF(A63&lt;65,IF(D61&lt;500000,0,IF(D61&lt;1300000,D61-500000,0)),0),0)</f>
        <v>0</v>
      </c>
      <c r="H65" s="141" t="s">
        <v>168</v>
      </c>
      <c r="I65" s="138">
        <f>IF(D63&gt;20000000,IF(A63&lt;65,IF(D61&lt;400000,0,IF(D61&lt;1300000,D61-400000,0)),0),0)</f>
        <v>0</v>
      </c>
    </row>
    <row r="66" spans="1:9" x14ac:dyDescent="0.2">
      <c r="A66" s="387"/>
      <c r="B66" s="385"/>
      <c r="C66" s="141" t="s">
        <v>28</v>
      </c>
      <c r="D66" s="21" t="s">
        <v>155</v>
      </c>
      <c r="E66" s="138">
        <f>IF(D63&lt;=10000000,IF(A63&lt;65,IF(D61&lt;1300000,0,IF(D61&lt;4100000,ROUNDDOWN(D61*0.75,0)-275000,0)),0),0)</f>
        <v>0</v>
      </c>
      <c r="F66" s="141" t="s">
        <v>162</v>
      </c>
      <c r="G66" s="138">
        <f>IF(AND(D63&lt;=20000000,D63&gt;10000000),IF(A63&lt;65,IF(D61&lt;1300000,0,IF(D61&lt;4100000,ROUNDDOWN(D61*0.75,0)-175000,0)),0),0)</f>
        <v>0</v>
      </c>
      <c r="H66" s="141" t="s">
        <v>170</v>
      </c>
      <c r="I66" s="138">
        <f>IF(D63&gt;20000000,IF(A63&lt;65,IF(D61&lt;1300000,0,IF(D61&lt;4100000,ROUNDDOWN(D61*0.75,0)-75000,0)),0),0)</f>
        <v>0</v>
      </c>
    </row>
    <row r="67" spans="1:9" x14ac:dyDescent="0.2">
      <c r="A67" s="387"/>
      <c r="B67" s="385"/>
      <c r="C67" s="141" t="s">
        <v>29</v>
      </c>
      <c r="D67" s="21" t="s">
        <v>156</v>
      </c>
      <c r="E67" s="138">
        <f>IF(D63&lt;=10000000,IF(A63&lt;65,IF(D61&lt;4100000,0,IF(D61&lt;7700000,ROUNDDOWN(D61*0.85,0)-685000,0)),0),0)</f>
        <v>0</v>
      </c>
      <c r="F67" s="141" t="s">
        <v>163</v>
      </c>
      <c r="G67" s="138">
        <f>IF(AND(D63&lt;=20000000,D63&gt;10000000),IF(A63&lt;65,IF(D61&lt;4100000,0,IF(D61&lt;7700000,ROUNDDOWN(D61*0.85,0)-585000,0)),0),0)</f>
        <v>0</v>
      </c>
      <c r="H67" s="141" t="s">
        <v>171</v>
      </c>
      <c r="I67" s="138">
        <f>IF(D63&gt;20000000,IF(A63&lt;65,IF(D61&lt;4100000,0,IF(D61&lt;7700000,ROUNDDOWN(D61*0.85,0)-485000,0)),0),0)</f>
        <v>0</v>
      </c>
    </row>
    <row r="68" spans="1:9" x14ac:dyDescent="0.2">
      <c r="A68" s="387"/>
      <c r="B68" s="385"/>
      <c r="C68" s="141" t="s">
        <v>150</v>
      </c>
      <c r="D68" s="21" t="s">
        <v>157</v>
      </c>
      <c r="E68" s="138">
        <f>IF(D63&lt;=10000000,IF(A63&lt;65,IF(D61&lt;7700000,0,IF(D61&lt;10000000,ROUNDDOWN(D61*0.95,0)-1455000,0)),0),0)</f>
        <v>0</v>
      </c>
      <c r="F68" s="141" t="s">
        <v>164</v>
      </c>
      <c r="G68" s="138">
        <f>IF(AND(D63&lt;=20000000,D63&gt;10000000),IF(A63&lt;65,IF(D61&lt;7700000,0,IF(D61&lt;10000000,ROUNDDOWN(D61*0.95,0)-1355000,0)),0),0)</f>
        <v>0</v>
      </c>
      <c r="H68" s="141" t="s">
        <v>172</v>
      </c>
      <c r="I68" s="138">
        <f>IF(D63&gt;20000000,IF(A63&lt;65,IF(D61&lt;7700000,0,IF(D61&lt;10000000,ROUNDDOWN(D61*0.95,0)-1255000,0)),0),0)</f>
        <v>0</v>
      </c>
    </row>
    <row r="69" spans="1:9" x14ac:dyDescent="0.2">
      <c r="A69" s="387"/>
      <c r="B69" s="386"/>
      <c r="C69" s="141" t="s">
        <v>151</v>
      </c>
      <c r="D69" s="21" t="s">
        <v>158</v>
      </c>
      <c r="E69" s="138">
        <f>IF(D63&lt;=10000000,IF(A63&lt;65,IF(D61&lt;10000000,0,IF(D61&gt;9999999,D61-1955000,0)),0),0)</f>
        <v>0</v>
      </c>
      <c r="F69" s="141" t="s">
        <v>165</v>
      </c>
      <c r="G69" s="138">
        <f>IF(AND(D63&lt;=20000000,D63&gt;10000000),IF(A63&lt;65,IF(D61&lt;10000000,0,IF(D61&gt;9999999,D61-1855000,0)),0),0)</f>
        <v>0</v>
      </c>
      <c r="H69" s="141" t="s">
        <v>173</v>
      </c>
      <c r="I69" s="138">
        <f>IF(D63&gt;20000000,IF(A63&lt;65,IF(D61&lt;10000000,0,IF(D61&gt;9999999,D61-1755000,0)),0),0)</f>
        <v>0</v>
      </c>
    </row>
    <row r="70" spans="1:9" x14ac:dyDescent="0.2">
      <c r="A70" s="387"/>
      <c r="B70" s="383" t="s">
        <v>30</v>
      </c>
      <c r="C70" s="141" t="s">
        <v>31</v>
      </c>
      <c r="D70" s="21" t="s">
        <v>159</v>
      </c>
      <c r="E70" s="138">
        <f>IF(D63&lt;=10000000,IF(A63&gt;64,IF(D61&lt;1100000,0,IF(D61&lt;3300000,D61-1100000,0)),0),0)</f>
        <v>0</v>
      </c>
      <c r="F70" s="141" t="s">
        <v>166</v>
      </c>
      <c r="G70" s="138">
        <f>IF(AND(D63&lt;=20000000,D63&gt;10000000),IF(A63&gt;64,IF(D61&lt;1000000,0,IF(D61&lt;3300000,D61-1000000,0)),0),0)</f>
        <v>0</v>
      </c>
      <c r="H70" s="141" t="s">
        <v>174</v>
      </c>
      <c r="I70" s="138">
        <f>IF(D63&gt;20000000,IF(A63&gt;64,IF(D61&lt;900000,0,IF(D61&lt;3300000,D61-900000,0)),0),0)</f>
        <v>0</v>
      </c>
    </row>
    <row r="71" spans="1:9" x14ac:dyDescent="0.2">
      <c r="A71" s="387"/>
      <c r="B71" s="385"/>
      <c r="C71" s="141" t="s">
        <v>32</v>
      </c>
      <c r="D71" s="21" t="s">
        <v>155</v>
      </c>
      <c r="E71" s="138">
        <f>IF(D63&lt;=10000000,IF(A63&gt;64,IF(D61&lt;3300000,0,IF(D61&lt;4100000,ROUNDDOWN(D61*0.75,0)-275000,0)),0),0)</f>
        <v>0</v>
      </c>
      <c r="F71" s="141" t="s">
        <v>162</v>
      </c>
      <c r="G71" s="138">
        <f>IF(AND(D63&lt;=20000000,D63&gt;10000000),IF(A63&gt;64,IF(D61&lt;3300000,0,IF(D61&lt;4100000,ROUNDDOWN(D61*0.75,0)-175000,0)),0),0)</f>
        <v>0</v>
      </c>
      <c r="H71" s="141" t="s">
        <v>170</v>
      </c>
      <c r="I71" s="138">
        <f>IF(D63&gt;20000000,IF(A63&gt;64,IF(D61&lt;3300000,0,IF(D61&lt;4100000,ROUNDDOWN(D61*0.75,0)-75000,0)),0),0)</f>
        <v>0</v>
      </c>
    </row>
    <row r="72" spans="1:9" x14ac:dyDescent="0.2">
      <c r="A72" s="387"/>
      <c r="B72" s="385"/>
      <c r="C72" s="141" t="s">
        <v>29</v>
      </c>
      <c r="D72" s="21" t="s">
        <v>156</v>
      </c>
      <c r="E72" s="138">
        <f>IF(D63&lt;=10000000,IF(A63&gt;64,IF(D61&lt;4100000,0,IF(D61&lt;7700000,ROUNDDOWN(D61*0.85,0)-685000,0)),0),0)</f>
        <v>0</v>
      </c>
      <c r="F72" s="141" t="s">
        <v>163</v>
      </c>
      <c r="G72" s="138">
        <f>IF(AND(D63&lt;=20000000,D63&gt;10000000),IF(A63&gt;64,IF(D61&lt;4100000,0,IF(D61&lt;7700000,ROUNDDOWN(D61*0.85,0)-585000,0)),0),0)</f>
        <v>0</v>
      </c>
      <c r="H72" s="141" t="s">
        <v>171</v>
      </c>
      <c r="I72" s="138">
        <f>IF(D63&gt;20000000,IF(A63&gt;64,IF(D61&lt;4100000,0,IF(D61&lt;7700000,ROUNDDOWN(D61*0.85,0)-485000,0)),0),0)</f>
        <v>0</v>
      </c>
    </row>
    <row r="73" spans="1:9" x14ac:dyDescent="0.2">
      <c r="A73" s="387"/>
      <c r="B73" s="385"/>
      <c r="C73" s="141" t="s">
        <v>150</v>
      </c>
      <c r="D73" s="21" t="s">
        <v>157</v>
      </c>
      <c r="E73" s="138">
        <f>IF(D63&lt;=10000000,IF(A63&gt;64,IF(D61&lt;7700000,0,IF(D61&lt;10000000,ROUNDDOWN(D61*0.95,0)-1455000,0)),0),0)</f>
        <v>0</v>
      </c>
      <c r="F73" s="141" t="s">
        <v>164</v>
      </c>
      <c r="G73" s="138">
        <f>IF(AND(D63&lt;=20000000,D63&gt;10000000),IF(A63&gt;64,IF(D61&lt;7700000,0,IF(D61&lt;10000000,ROUNDDOWN(D61*0.95,0)-1355000,0)),0),0)</f>
        <v>0</v>
      </c>
      <c r="H73" s="141" t="s">
        <v>172</v>
      </c>
      <c r="I73" s="138">
        <f>IF(D63&gt;20000000,IF(A63&gt;64,IF(D61&lt;7700000,0,IF(D61&lt;10000000,ROUNDDOWN(D61*0.95,0)-1255000,0)),0),0)</f>
        <v>0</v>
      </c>
    </row>
    <row r="74" spans="1:9" x14ac:dyDescent="0.2">
      <c r="A74" s="387"/>
      <c r="B74" s="386"/>
      <c r="C74" s="141" t="s">
        <v>151</v>
      </c>
      <c r="D74" s="21" t="s">
        <v>158</v>
      </c>
      <c r="E74" s="138">
        <f>IF(D63&lt;=10000000,IF(A63&gt;64,IF(D61&lt;10000000,0,IF(D61&gt;9999999,D61-1955000,0)),0),0)</f>
        <v>0</v>
      </c>
      <c r="F74" s="141" t="s">
        <v>165</v>
      </c>
      <c r="G74" s="138">
        <f>IF(AND(D63&lt;=20000000,D63&gt;10000000),IF(A63&gt;64,IF(D61&lt;10000000,0,IF(D61&gt;9999999,D61-1855000,0)),0),0)</f>
        <v>0</v>
      </c>
      <c r="H74" s="141" t="s">
        <v>173</v>
      </c>
      <c r="I74" s="138">
        <f>IF(D63&gt;20000000,IF(A63&gt;64,IF(D61&lt;10000000,0,IF(D61&gt;9999999,D61-1755000,0)),0),0)</f>
        <v>0</v>
      </c>
    </row>
    <row r="75" spans="1:9" ht="13.5" thickBot="1" x14ac:dyDescent="0.25">
      <c r="B75" s="143"/>
      <c r="C75" s="143"/>
      <c r="D75" s="143"/>
      <c r="E75" s="143"/>
      <c r="F75" s="143"/>
      <c r="G75" s="143"/>
      <c r="H75" s="143"/>
    </row>
    <row r="76" spans="1:9" ht="13.5" thickBot="1" x14ac:dyDescent="0.25">
      <c r="A76" s="144"/>
      <c r="B76" s="145"/>
      <c r="C76" s="146" t="s">
        <v>153</v>
      </c>
      <c r="D76" s="160">
        <f>計算シート!P16</f>
        <v>0</v>
      </c>
      <c r="E76" s="147"/>
      <c r="F76" s="164" t="s">
        <v>186</v>
      </c>
      <c r="G76" s="163" t="str">
        <f>IF(計算シート!AF16="","",SUM(E80:E89,G80:G89,I80:I89))</f>
        <v/>
      </c>
      <c r="H76" s="165" t="s">
        <v>1</v>
      </c>
      <c r="I76" s="145"/>
    </row>
    <row r="77" spans="1:9" ht="13.5" thickBot="1" x14ac:dyDescent="0.25">
      <c r="A77" s="382" t="s">
        <v>25</v>
      </c>
      <c r="B77" s="382"/>
      <c r="C77" s="139" t="s">
        <v>35</v>
      </c>
      <c r="D77" s="161" t="str">
        <f>IF(計算シート!AF16="","",計算シート!AF16)</f>
        <v/>
      </c>
      <c r="E77" s="29"/>
      <c r="F77" s="29"/>
      <c r="G77" s="29"/>
      <c r="H77" s="29"/>
      <c r="I77" s="145"/>
    </row>
    <row r="78" spans="1:9" x14ac:dyDescent="0.2">
      <c r="A78" s="383" t="str">
        <f>IFERROR(IF(D77="","",DATEDIF($D77,$J$2,"Y")),0)</f>
        <v/>
      </c>
      <c r="B78" s="383"/>
      <c r="C78" s="148" t="s">
        <v>149</v>
      </c>
      <c r="D78" s="162">
        <f>IF(計算シート!K16="",計算シート!C16+0+計算シート!X16,計算シート!C16+計算シート!K16+計算シート!X16)</f>
        <v>0</v>
      </c>
      <c r="E78" s="147"/>
      <c r="F78" s="147"/>
      <c r="G78" s="147"/>
      <c r="H78" s="147"/>
      <c r="I78" s="145"/>
    </row>
    <row r="79" spans="1:9" x14ac:dyDescent="0.2">
      <c r="A79" s="384" t="s">
        <v>167</v>
      </c>
      <c r="B79" s="384"/>
      <c r="C79" s="384"/>
      <c r="D79" s="381" t="s">
        <v>160</v>
      </c>
      <c r="E79" s="381"/>
      <c r="F79" s="382" t="s">
        <v>161</v>
      </c>
      <c r="G79" s="382"/>
      <c r="H79" s="381" t="s">
        <v>175</v>
      </c>
      <c r="I79" s="381"/>
    </row>
    <row r="80" spans="1:9" x14ac:dyDescent="0.2">
      <c r="A80" s="387" t="s">
        <v>152</v>
      </c>
      <c r="B80" s="383" t="s">
        <v>26</v>
      </c>
      <c r="C80" s="141" t="s">
        <v>27</v>
      </c>
      <c r="D80" s="21" t="s">
        <v>154</v>
      </c>
      <c r="E80" s="138">
        <f>IF(D78&lt;=10000000,IF(A78&lt;65,IF(D76&lt;600000,0,IF(D76&lt;1300000,D76-600000,0)),0),0)</f>
        <v>0</v>
      </c>
      <c r="F80" s="141" t="s">
        <v>169</v>
      </c>
      <c r="G80" s="138">
        <f>IF(AND(D78&lt;=20000000,D78&gt;10000000),IF(A78&lt;65,IF(D76&lt;500000,0,IF(D76&lt;1300000,D76-500000,0)),0),0)</f>
        <v>0</v>
      </c>
      <c r="H80" s="141" t="s">
        <v>168</v>
      </c>
      <c r="I80" s="138">
        <f>IF(D78&gt;20000000,IF(A78&lt;65,IF(D76&lt;400000,0,IF(D76&lt;1300000,D76-400000,0)),0),0)</f>
        <v>0</v>
      </c>
    </row>
    <row r="81" spans="1:9" x14ac:dyDescent="0.2">
      <c r="A81" s="387"/>
      <c r="B81" s="385"/>
      <c r="C81" s="141" t="s">
        <v>28</v>
      </c>
      <c r="D81" s="21" t="s">
        <v>155</v>
      </c>
      <c r="E81" s="138">
        <f>IF(D78&lt;=10000000,IF(A78&lt;65,IF(D76&lt;1300000,0,IF(D76&lt;4100000,ROUNDDOWN(D76*0.75,0)-275000,0)),0),0)</f>
        <v>0</v>
      </c>
      <c r="F81" s="141" t="s">
        <v>162</v>
      </c>
      <c r="G81" s="138">
        <f>IF(AND(D78&lt;=20000000,D78&gt;10000000),IF(A78&lt;65,IF(D76&lt;1300000,0,IF(D76&lt;4100000,ROUNDDOWN(D76*0.75,0)-175000,0)),0),0)</f>
        <v>0</v>
      </c>
      <c r="H81" s="141" t="s">
        <v>170</v>
      </c>
      <c r="I81" s="138">
        <f>IF(D78&gt;20000000,IF(A78&lt;65,IF(D76&lt;1300000,0,IF(D76&lt;4100000,ROUNDDOWN(D76*0.75,0)-75000,0)),0),0)</f>
        <v>0</v>
      </c>
    </row>
    <row r="82" spans="1:9" x14ac:dyDescent="0.2">
      <c r="A82" s="387"/>
      <c r="B82" s="385"/>
      <c r="C82" s="141" t="s">
        <v>29</v>
      </c>
      <c r="D82" s="21" t="s">
        <v>156</v>
      </c>
      <c r="E82" s="138">
        <f>IF(D78&lt;=10000000,IF(A78&lt;65,IF(D76&lt;4100000,0,IF(D76&lt;7700000,ROUNDDOWN(D76*0.85,0)-685000,0)),0),0)</f>
        <v>0</v>
      </c>
      <c r="F82" s="141" t="s">
        <v>163</v>
      </c>
      <c r="G82" s="138">
        <f>IF(AND(D78&lt;=20000000,D78&gt;10000000),IF(A78&lt;65,IF(D76&lt;4100000,0,IF(D76&lt;7700000,ROUNDDOWN(D76*0.85,0)-585000,0)),0),0)</f>
        <v>0</v>
      </c>
      <c r="H82" s="141" t="s">
        <v>171</v>
      </c>
      <c r="I82" s="138">
        <f>IF(D78&gt;20000000,IF(A78&lt;65,IF(D76&lt;4100000,0,IF(D76&lt;7700000,ROUNDDOWN(D76*0.85,0)-485000,0)),0),0)</f>
        <v>0</v>
      </c>
    </row>
    <row r="83" spans="1:9" x14ac:dyDescent="0.2">
      <c r="A83" s="387"/>
      <c r="B83" s="385"/>
      <c r="C83" s="141" t="s">
        <v>150</v>
      </c>
      <c r="D83" s="21" t="s">
        <v>157</v>
      </c>
      <c r="E83" s="138">
        <f>IF(D78&lt;=10000000,IF(A78&lt;65,IF(D76&lt;7700000,0,IF(D76&lt;10000000,ROUNDDOWN(D76*0.95,0)-1455000,0)),0),0)</f>
        <v>0</v>
      </c>
      <c r="F83" s="141" t="s">
        <v>164</v>
      </c>
      <c r="G83" s="138">
        <f>IF(AND(D78&lt;=20000000,D78&gt;10000000),IF(A78&lt;65,IF(D76&lt;7700000,0,IF(D76&lt;10000000,ROUNDDOWN(D76*0.95,0)-1355000,0)),0),0)</f>
        <v>0</v>
      </c>
      <c r="H83" s="141" t="s">
        <v>172</v>
      </c>
      <c r="I83" s="138">
        <f>IF(D78&gt;20000000,IF(A78&lt;65,IF(D76&lt;7700000,0,IF(D76&lt;10000000,ROUNDDOWN(D76*0.95,0)-1255000,0)),0),0)</f>
        <v>0</v>
      </c>
    </row>
    <row r="84" spans="1:9" x14ac:dyDescent="0.2">
      <c r="A84" s="387"/>
      <c r="B84" s="386"/>
      <c r="C84" s="141" t="s">
        <v>151</v>
      </c>
      <c r="D84" s="21" t="s">
        <v>158</v>
      </c>
      <c r="E84" s="138">
        <f>IF(D78&lt;=10000000,IF(A78&lt;65,IF(D76&lt;10000000,0,IF(D76&gt;9999999,D76-1955000,0)),0),0)</f>
        <v>0</v>
      </c>
      <c r="F84" s="141" t="s">
        <v>165</v>
      </c>
      <c r="G84" s="138">
        <f>IF(AND(D78&lt;=20000000,D78&gt;10000000),IF(A78&lt;65,IF(D76&lt;10000000,0,IF(D76&gt;9999999,D76-1855000,0)),0),0)</f>
        <v>0</v>
      </c>
      <c r="H84" s="141" t="s">
        <v>173</v>
      </c>
      <c r="I84" s="138">
        <f>IF(D78&gt;20000000,IF(A78&lt;65,IF(D76&lt;10000000,0,IF(D76&gt;9999999,D76-1755000,0)),0),0)</f>
        <v>0</v>
      </c>
    </row>
    <row r="85" spans="1:9" x14ac:dyDescent="0.2">
      <c r="A85" s="387"/>
      <c r="B85" s="383" t="s">
        <v>30</v>
      </c>
      <c r="C85" s="141" t="s">
        <v>31</v>
      </c>
      <c r="D85" s="21" t="s">
        <v>159</v>
      </c>
      <c r="E85" s="138">
        <f>IF(D78&lt;=10000000,IF(A78&gt;64,IF(D76&lt;1100000,0,IF(D76&lt;3300000,D76-1100000,0)),0),0)</f>
        <v>0</v>
      </c>
      <c r="F85" s="141" t="s">
        <v>166</v>
      </c>
      <c r="G85" s="138">
        <f>IF(AND(D78&lt;=20000000,D78&gt;10000000),IF(A78&gt;64,IF(D76&lt;1000000,0,IF(D76&lt;3300000,D76-1000000,0)),0),0)</f>
        <v>0</v>
      </c>
      <c r="H85" s="141" t="s">
        <v>174</v>
      </c>
      <c r="I85" s="138">
        <f>IF(D78&gt;20000000,IF(A78&gt;64,IF(D76&lt;900000,0,IF(D76&lt;3300000,D76-900000,0)),0),0)</f>
        <v>0</v>
      </c>
    </row>
    <row r="86" spans="1:9" x14ac:dyDescent="0.2">
      <c r="A86" s="387"/>
      <c r="B86" s="385"/>
      <c r="C86" s="141" t="s">
        <v>32</v>
      </c>
      <c r="D86" s="21" t="s">
        <v>155</v>
      </c>
      <c r="E86" s="138">
        <f>IF(D78&lt;=10000000,IF(A78&gt;64,IF(D76&lt;3300000,0,IF(D76&lt;4100000,ROUNDDOWN(D76*0.75,0)-275000,0)),0),0)</f>
        <v>0</v>
      </c>
      <c r="F86" s="141" t="s">
        <v>162</v>
      </c>
      <c r="G86" s="138">
        <f>IF(AND(D78&lt;=20000000,D78&gt;10000000),IF(A78&gt;64,IF(D76&lt;3300000,0,IF(D76&lt;4100000,ROUNDDOWN(D76*0.75,0)-175000,0)),0),0)</f>
        <v>0</v>
      </c>
      <c r="H86" s="141" t="s">
        <v>170</v>
      </c>
      <c r="I86" s="138">
        <f>IF(D78&gt;20000000,IF(A78&gt;64,IF(D76&lt;3300000,0,IF(D76&lt;4100000,ROUNDDOWN(D76*0.75,0)-75000,0)),0),0)</f>
        <v>0</v>
      </c>
    </row>
    <row r="87" spans="1:9" x14ac:dyDescent="0.2">
      <c r="A87" s="387"/>
      <c r="B87" s="385"/>
      <c r="C87" s="141" t="s">
        <v>29</v>
      </c>
      <c r="D87" s="21" t="s">
        <v>156</v>
      </c>
      <c r="E87" s="138">
        <f>IF(D78&lt;=10000000,IF(A78&gt;64,IF(D76&lt;4100000,0,IF(D76&lt;7700000,ROUNDDOWN(D76*0.85,0)-685000,0)),0),0)</f>
        <v>0</v>
      </c>
      <c r="F87" s="141" t="s">
        <v>163</v>
      </c>
      <c r="G87" s="138">
        <f>IF(AND(D78&lt;=20000000,D78&gt;10000000),IF(A78&gt;64,IF(D76&lt;4100000,0,IF(D76&lt;7700000,ROUNDDOWN(D76*0.85,0)-585000,0)),0),0)</f>
        <v>0</v>
      </c>
      <c r="H87" s="141" t="s">
        <v>171</v>
      </c>
      <c r="I87" s="138">
        <f>IF(D78&gt;20000000,IF(A78&gt;64,IF(D76&lt;4100000,0,IF(D76&lt;7700000,ROUNDDOWN(D76*0.85,0)-485000,0)),0),0)</f>
        <v>0</v>
      </c>
    </row>
    <row r="88" spans="1:9" x14ac:dyDescent="0.2">
      <c r="A88" s="387"/>
      <c r="B88" s="385"/>
      <c r="C88" s="141" t="s">
        <v>150</v>
      </c>
      <c r="D88" s="21" t="s">
        <v>157</v>
      </c>
      <c r="E88" s="138">
        <f>IF(D78&lt;=10000000,IF(A78&gt;64,IF(D76&lt;7700000,0,IF(D76&lt;10000000,ROUNDDOWN(D76*0.95,0)-1455000,0)),0),0)</f>
        <v>0</v>
      </c>
      <c r="F88" s="141" t="s">
        <v>164</v>
      </c>
      <c r="G88" s="138">
        <f>IF(AND(D78&lt;=20000000,D78&gt;10000000),IF(A78&gt;64,IF(D76&lt;7700000,0,IF(D76&lt;10000000,ROUNDDOWN(D76*0.95,0)-1355000,0)),0),0)</f>
        <v>0</v>
      </c>
      <c r="H88" s="141" t="s">
        <v>172</v>
      </c>
      <c r="I88" s="138">
        <f>IF(D78&gt;20000000,IF(A78&gt;64,IF(D76&lt;7700000,0,IF(D76&lt;10000000,ROUNDDOWN(D76*0.95,0)-1255000,0)),0),0)</f>
        <v>0</v>
      </c>
    </row>
    <row r="89" spans="1:9" x14ac:dyDescent="0.2">
      <c r="A89" s="387"/>
      <c r="B89" s="386"/>
      <c r="C89" s="141" t="s">
        <v>151</v>
      </c>
      <c r="D89" s="21" t="s">
        <v>158</v>
      </c>
      <c r="E89" s="138">
        <f>IF(D78&lt;=10000000,IF(A78&gt;64,IF(D76&lt;10000000,0,IF(D76&gt;9999999,D76-1955000,0)),0),0)</f>
        <v>0</v>
      </c>
      <c r="F89" s="141" t="s">
        <v>165</v>
      </c>
      <c r="G89" s="138">
        <f>IF(AND(D78&lt;=20000000,D78&gt;10000000),IF(A78&gt;64,IF(D76&lt;10000000,0,IF(D76&gt;9999999,D76-1855000,0)),0),0)</f>
        <v>0</v>
      </c>
      <c r="H89" s="141" t="s">
        <v>173</v>
      </c>
      <c r="I89" s="138">
        <f>IF(D78&gt;20000000,IF(A78&gt;64,IF(D76&lt;10000000,0,IF(D76&gt;9999999,D76-1755000,0)),0),0)</f>
        <v>0</v>
      </c>
    </row>
    <row r="90" spans="1:9" ht="13.5" thickBot="1" x14ac:dyDescent="0.25">
      <c r="B90" s="143"/>
      <c r="C90" s="143"/>
      <c r="D90" s="143"/>
      <c r="E90" s="143"/>
      <c r="F90" s="143"/>
      <c r="G90" s="143"/>
      <c r="H90" s="143"/>
    </row>
    <row r="91" spans="1:9" ht="13.5" thickBot="1" x14ac:dyDescent="0.25">
      <c r="A91" s="144"/>
      <c r="B91" s="145"/>
      <c r="C91" s="146" t="s">
        <v>153</v>
      </c>
      <c r="D91" s="160">
        <f>計算シート!P17</f>
        <v>0</v>
      </c>
      <c r="E91" s="147"/>
      <c r="F91" s="164" t="s">
        <v>187</v>
      </c>
      <c r="G91" s="163" t="str">
        <f>IF(計算シート!AF17="","",SUM(E95:E104,G95:G104,I95:I104))</f>
        <v/>
      </c>
      <c r="H91" s="165" t="s">
        <v>1</v>
      </c>
      <c r="I91" s="145"/>
    </row>
    <row r="92" spans="1:9" ht="13.5" thickBot="1" x14ac:dyDescent="0.25">
      <c r="A92" s="382" t="s">
        <v>25</v>
      </c>
      <c r="B92" s="382"/>
      <c r="C92" s="139" t="s">
        <v>35</v>
      </c>
      <c r="D92" s="161" t="str">
        <f>IF(計算シート!AF17="","",計算シート!AF17)</f>
        <v/>
      </c>
      <c r="E92" s="29"/>
      <c r="F92" s="29"/>
      <c r="G92" s="29"/>
      <c r="H92" s="29"/>
      <c r="I92" s="145"/>
    </row>
    <row r="93" spans="1:9" x14ac:dyDescent="0.2">
      <c r="A93" s="383" t="str">
        <f>IFERROR(IF(D92="","",DATEDIF($D92,$J$2,"Y")),0)</f>
        <v/>
      </c>
      <c r="B93" s="383"/>
      <c r="C93" s="148" t="s">
        <v>149</v>
      </c>
      <c r="D93" s="162">
        <f>IF(計算シート!K17="",計算シート!C17+0+計算シート!X17,計算シート!C17+計算シート!K17+計算シート!X17)</f>
        <v>0</v>
      </c>
      <c r="E93" s="147"/>
      <c r="F93" s="147"/>
      <c r="G93" s="147"/>
      <c r="H93" s="147"/>
      <c r="I93" s="145"/>
    </row>
    <row r="94" spans="1:9" x14ac:dyDescent="0.2">
      <c r="A94" s="384" t="s">
        <v>167</v>
      </c>
      <c r="B94" s="384"/>
      <c r="C94" s="384"/>
      <c r="D94" s="381" t="s">
        <v>160</v>
      </c>
      <c r="E94" s="381"/>
      <c r="F94" s="382" t="s">
        <v>161</v>
      </c>
      <c r="G94" s="382"/>
      <c r="H94" s="381" t="s">
        <v>175</v>
      </c>
      <c r="I94" s="381"/>
    </row>
    <row r="95" spans="1:9" x14ac:dyDescent="0.2">
      <c r="A95" s="387" t="s">
        <v>152</v>
      </c>
      <c r="B95" s="383" t="s">
        <v>26</v>
      </c>
      <c r="C95" s="141" t="s">
        <v>27</v>
      </c>
      <c r="D95" s="21" t="s">
        <v>154</v>
      </c>
      <c r="E95" s="138">
        <f>IF(D93&lt;=10000000,IF(A93&lt;65,IF(D91&lt;600000,0,IF(D91&lt;1300000,D91-600000,0)),0),0)</f>
        <v>0</v>
      </c>
      <c r="F95" s="141" t="s">
        <v>169</v>
      </c>
      <c r="G95" s="138">
        <f>IF(AND(D93&lt;=20000000,D93&gt;10000000),IF(A93&lt;65,IF(D91&lt;500000,0,IF(D91&lt;1300000,D91-500000,0)),0),0)</f>
        <v>0</v>
      </c>
      <c r="H95" s="141" t="s">
        <v>168</v>
      </c>
      <c r="I95" s="138">
        <f>IF(D93&gt;20000000,IF(A93&lt;65,IF(D91&lt;400000,0,IF(D91&lt;1300000,D91-400000,0)),0),0)</f>
        <v>0</v>
      </c>
    </row>
    <row r="96" spans="1:9" x14ac:dyDescent="0.2">
      <c r="A96" s="387"/>
      <c r="B96" s="385"/>
      <c r="C96" s="141" t="s">
        <v>28</v>
      </c>
      <c r="D96" s="21" t="s">
        <v>155</v>
      </c>
      <c r="E96" s="138">
        <f>IF(D93&lt;=10000000,IF(A93&lt;65,IF(D91&lt;1300000,0,IF(D91&lt;4100000,ROUNDDOWN(D91*0.75,0)-275000,0)),0),0)</f>
        <v>0</v>
      </c>
      <c r="F96" s="141" t="s">
        <v>162</v>
      </c>
      <c r="G96" s="138">
        <f>IF(AND(D93&lt;=20000000,D93&gt;10000000),IF(A93&lt;65,IF(D91&lt;1300000,0,IF(D91&lt;4100000,ROUNDDOWN(D91*0.75,0)-175000,0)),0),0)</f>
        <v>0</v>
      </c>
      <c r="H96" s="141" t="s">
        <v>170</v>
      </c>
      <c r="I96" s="138">
        <f>IF(D93&gt;20000000,IF(A93&lt;65,IF(D91&lt;1300000,0,IF(D91&lt;4100000,ROUNDDOWN(D91*0.75,0)-75000,0)),0),0)</f>
        <v>0</v>
      </c>
    </row>
    <row r="97" spans="1:9" x14ac:dyDescent="0.2">
      <c r="A97" s="387"/>
      <c r="B97" s="385"/>
      <c r="C97" s="141" t="s">
        <v>29</v>
      </c>
      <c r="D97" s="21" t="s">
        <v>156</v>
      </c>
      <c r="E97" s="138">
        <f>IF(D93&lt;=10000000,IF(A93&lt;65,IF(D91&lt;4100000,0,IF(D91&lt;7700000,ROUNDDOWN(D91*0.85,0)-685000,0)),0),0)</f>
        <v>0</v>
      </c>
      <c r="F97" s="141" t="s">
        <v>163</v>
      </c>
      <c r="G97" s="138">
        <f>IF(AND(D93&lt;=20000000,D93&gt;10000000),IF(A93&lt;65,IF(D91&lt;4100000,0,IF(D91&lt;7700000,ROUNDDOWN(D91*0.85,0)-585000,0)),0),0)</f>
        <v>0</v>
      </c>
      <c r="H97" s="141" t="s">
        <v>171</v>
      </c>
      <c r="I97" s="138">
        <f>IF(D93&gt;20000000,IF(A93&lt;65,IF(D91&lt;4100000,0,IF(D91&lt;7700000,ROUNDDOWN(D91*0.85,0)-485000,0)),0),0)</f>
        <v>0</v>
      </c>
    </row>
    <row r="98" spans="1:9" x14ac:dyDescent="0.2">
      <c r="A98" s="387"/>
      <c r="B98" s="385"/>
      <c r="C98" s="141" t="s">
        <v>150</v>
      </c>
      <c r="D98" s="21" t="s">
        <v>157</v>
      </c>
      <c r="E98" s="138">
        <f>IF(D93&lt;=10000000,IF(A93&lt;65,IF(D91&lt;7700000,0,IF(D91&lt;10000000,ROUNDDOWN(D91*0.95,0)-1455000,0)),0),0)</f>
        <v>0</v>
      </c>
      <c r="F98" s="141" t="s">
        <v>164</v>
      </c>
      <c r="G98" s="138">
        <f>IF(AND(D93&lt;=20000000,D93&gt;10000000),IF(A93&lt;65,IF(D91&lt;7700000,0,IF(D91&lt;10000000,ROUNDDOWN(D91*0.95,0)-1355000,0)),0),0)</f>
        <v>0</v>
      </c>
      <c r="H98" s="141" t="s">
        <v>172</v>
      </c>
      <c r="I98" s="138">
        <f>IF(D93&gt;20000000,IF(A93&lt;65,IF(D91&lt;7700000,0,IF(D91&lt;10000000,ROUNDDOWN(D91*0.95,0)-1255000,0)),0),0)</f>
        <v>0</v>
      </c>
    </row>
    <row r="99" spans="1:9" x14ac:dyDescent="0.2">
      <c r="A99" s="387"/>
      <c r="B99" s="386"/>
      <c r="C99" s="141" t="s">
        <v>151</v>
      </c>
      <c r="D99" s="21" t="s">
        <v>158</v>
      </c>
      <c r="E99" s="138">
        <f>IF(D93&lt;=10000000,IF(A93&lt;65,IF(D91&lt;10000000,0,IF(D91&gt;9999999,D91-1955000,0)),0),0)</f>
        <v>0</v>
      </c>
      <c r="F99" s="141" t="s">
        <v>165</v>
      </c>
      <c r="G99" s="138">
        <f>IF(AND(D93&lt;=20000000,D93&gt;10000000),IF(A93&lt;65,IF(D91&lt;10000000,0,IF(D91&gt;9999999,D91-1855000,0)),0),0)</f>
        <v>0</v>
      </c>
      <c r="H99" s="141" t="s">
        <v>173</v>
      </c>
      <c r="I99" s="138">
        <f>IF(D93&gt;20000000,IF(A93&lt;65,IF(D91&lt;10000000,0,IF(D91&gt;9999999,D91-1755000,0)),0),0)</f>
        <v>0</v>
      </c>
    </row>
    <row r="100" spans="1:9" x14ac:dyDescent="0.2">
      <c r="A100" s="387"/>
      <c r="B100" s="383" t="s">
        <v>30</v>
      </c>
      <c r="C100" s="141" t="s">
        <v>31</v>
      </c>
      <c r="D100" s="21" t="s">
        <v>159</v>
      </c>
      <c r="E100" s="138">
        <f>IF(D93&lt;=10000000,IF(A93&gt;64,IF(D91&lt;1100000,0,IF(D91&lt;3300000,D91-1100000,0)),0),0)</f>
        <v>0</v>
      </c>
      <c r="F100" s="141" t="s">
        <v>166</v>
      </c>
      <c r="G100" s="138">
        <f>IF(AND(D93&lt;=20000000,D93&gt;10000000),IF(A93&gt;64,IF(D91&lt;1000000,0,IF(D91&lt;3300000,D91-1000000,0)),0),0)</f>
        <v>0</v>
      </c>
      <c r="H100" s="141" t="s">
        <v>174</v>
      </c>
      <c r="I100" s="138">
        <f>IF(D93&gt;20000000,IF(A93&gt;64,IF(D91&lt;900000,0,IF(D91&lt;3300000,D91-900000,0)),0),0)</f>
        <v>0</v>
      </c>
    </row>
    <row r="101" spans="1:9" x14ac:dyDescent="0.2">
      <c r="A101" s="387"/>
      <c r="B101" s="385"/>
      <c r="C101" s="141" t="s">
        <v>32</v>
      </c>
      <c r="D101" s="21" t="s">
        <v>155</v>
      </c>
      <c r="E101" s="138">
        <f>IF(D93&lt;=10000000,IF(A93&gt;64,IF(D91&lt;3300000,0,IF(D91&lt;4100000,ROUNDDOWN(D91*0.75,0)-275000,0)),0),0)</f>
        <v>0</v>
      </c>
      <c r="F101" s="141" t="s">
        <v>162</v>
      </c>
      <c r="G101" s="138">
        <f>IF(AND(D93&lt;=20000000,D93&gt;10000000),IF(A93&gt;64,IF(D91&lt;3300000,0,IF(D91&lt;4100000,ROUNDDOWN(D91*0.75,0)-175000,0)),0),0)</f>
        <v>0</v>
      </c>
      <c r="H101" s="141" t="s">
        <v>170</v>
      </c>
      <c r="I101" s="138">
        <f>IF(D93&gt;20000000,IF(A93&gt;64,IF(D91&lt;3300000,0,IF(D91&lt;4100000,ROUNDDOWN(D91*0.75,0)-75000,0)),0),0)</f>
        <v>0</v>
      </c>
    </row>
    <row r="102" spans="1:9" x14ac:dyDescent="0.2">
      <c r="A102" s="387"/>
      <c r="B102" s="385"/>
      <c r="C102" s="141" t="s">
        <v>29</v>
      </c>
      <c r="D102" s="21" t="s">
        <v>156</v>
      </c>
      <c r="E102" s="138">
        <f>IF(D93&lt;=10000000,IF(A93&gt;64,IF(D91&lt;4100000,0,IF(D91&lt;7700000,ROUNDDOWN(D91*0.85,0)-685000,0)),0),0)</f>
        <v>0</v>
      </c>
      <c r="F102" s="141" t="s">
        <v>163</v>
      </c>
      <c r="G102" s="138">
        <f>IF(AND(D93&lt;=20000000,D93&gt;10000000),IF(A93&gt;64,IF(D91&lt;4100000,0,IF(D91&lt;7700000,ROUNDDOWN(D91*0.85,0)-585000,0)),0),0)</f>
        <v>0</v>
      </c>
      <c r="H102" s="141" t="s">
        <v>171</v>
      </c>
      <c r="I102" s="138">
        <f>IF(D93&gt;20000000,IF(A93&gt;64,IF(D91&lt;4100000,0,IF(D91&lt;7700000,ROUNDDOWN(D91*0.85,0)-485000,0)),0),0)</f>
        <v>0</v>
      </c>
    </row>
    <row r="103" spans="1:9" x14ac:dyDescent="0.2">
      <c r="A103" s="387"/>
      <c r="B103" s="385"/>
      <c r="C103" s="141" t="s">
        <v>150</v>
      </c>
      <c r="D103" s="21" t="s">
        <v>157</v>
      </c>
      <c r="E103" s="138">
        <f>IF(D93&lt;=10000000,IF(A93&gt;64,IF(D91&lt;7700000,0,IF(D91&lt;10000000,ROUNDDOWN(D91*0.95,0)-1455000,0)),0),0)</f>
        <v>0</v>
      </c>
      <c r="F103" s="141" t="s">
        <v>164</v>
      </c>
      <c r="G103" s="138">
        <f>IF(AND(D93&lt;=20000000,D93&gt;10000000),IF(A93&gt;64,IF(D91&lt;7700000,0,IF(D91&lt;10000000,ROUNDDOWN(D91*0.95,0)-1355000,0)),0),0)</f>
        <v>0</v>
      </c>
      <c r="H103" s="141" t="s">
        <v>172</v>
      </c>
      <c r="I103" s="138">
        <f>IF(D93&gt;20000000,IF(A93&gt;64,IF(D91&lt;7700000,0,IF(D91&lt;10000000,ROUNDDOWN(D91*0.95,0)-1255000,0)),0),0)</f>
        <v>0</v>
      </c>
    </row>
    <row r="104" spans="1:9" x14ac:dyDescent="0.2">
      <c r="A104" s="387"/>
      <c r="B104" s="386"/>
      <c r="C104" s="141" t="s">
        <v>151</v>
      </c>
      <c r="D104" s="21" t="s">
        <v>158</v>
      </c>
      <c r="E104" s="138">
        <f>IF(D93&lt;=10000000,IF(A93&gt;64,IF(D91&lt;10000000,0,IF(D91&gt;9999999,D91-1955000,0)),0),0)</f>
        <v>0</v>
      </c>
      <c r="F104" s="141" t="s">
        <v>165</v>
      </c>
      <c r="G104" s="138">
        <f>IF(AND(D93&lt;=20000000,D93&gt;10000000),IF(A93&gt;64,IF(D91&lt;10000000,0,IF(D91&gt;9999999,D91-1855000,0)),0),0)</f>
        <v>0</v>
      </c>
      <c r="H104" s="141" t="s">
        <v>173</v>
      </c>
      <c r="I104" s="138">
        <f>IF(D93&gt;20000000,IF(A93&gt;64,IF(D91&lt;10000000,0,IF(D91&gt;9999999,D91-1755000,0)),0),0)</f>
        <v>0</v>
      </c>
    </row>
    <row r="105" spans="1:9" ht="13.5" thickBot="1" x14ac:dyDescent="0.25">
      <c r="B105" s="143"/>
      <c r="C105" s="143"/>
      <c r="D105" s="143"/>
      <c r="E105" s="143"/>
      <c r="F105" s="143"/>
      <c r="G105" s="143"/>
      <c r="H105" s="143"/>
    </row>
    <row r="106" spans="1:9" ht="13.5" thickBot="1" x14ac:dyDescent="0.25">
      <c r="A106" s="144"/>
      <c r="B106" s="145"/>
      <c r="C106" s="146" t="s">
        <v>153</v>
      </c>
      <c r="D106" s="160">
        <f>計算シート!P18</f>
        <v>0</v>
      </c>
      <c r="E106" s="147"/>
      <c r="F106" s="164" t="s">
        <v>188</v>
      </c>
      <c r="G106" s="163" t="str">
        <f>IF(計算シート!AF18="","",SUM(E110:E119,G110:G119,I110:I119))</f>
        <v/>
      </c>
      <c r="H106" s="165" t="s">
        <v>1</v>
      </c>
      <c r="I106" s="145"/>
    </row>
    <row r="107" spans="1:9" ht="13.5" thickBot="1" x14ac:dyDescent="0.25">
      <c r="A107" s="382" t="s">
        <v>25</v>
      </c>
      <c r="B107" s="382"/>
      <c r="C107" s="139" t="s">
        <v>35</v>
      </c>
      <c r="D107" s="161" t="str">
        <f>IF(計算シート!AF18="","",計算シート!AF18)</f>
        <v/>
      </c>
      <c r="E107" s="29"/>
      <c r="F107" s="29"/>
      <c r="G107" s="29"/>
      <c r="H107" s="29"/>
      <c r="I107" s="145"/>
    </row>
    <row r="108" spans="1:9" x14ac:dyDescent="0.2">
      <c r="A108" s="383" t="str">
        <f>IFERROR(IF(D107="","",DATEDIF($D107,$J$2,"Y")),0)</f>
        <v/>
      </c>
      <c r="B108" s="383"/>
      <c r="C108" s="148" t="s">
        <v>149</v>
      </c>
      <c r="D108" s="162">
        <f>IF(計算シート!K18="",計算シート!C18+0+計算シート!X18,計算シート!C18+計算シート!K18+計算シート!X18)</f>
        <v>0</v>
      </c>
      <c r="E108" s="147"/>
      <c r="F108" s="147"/>
      <c r="G108" s="147"/>
      <c r="H108" s="147"/>
      <c r="I108" s="145"/>
    </row>
    <row r="109" spans="1:9" x14ac:dyDescent="0.2">
      <c r="A109" s="384" t="s">
        <v>167</v>
      </c>
      <c r="B109" s="384"/>
      <c r="C109" s="384"/>
      <c r="D109" s="381" t="s">
        <v>160</v>
      </c>
      <c r="E109" s="381"/>
      <c r="F109" s="382" t="s">
        <v>161</v>
      </c>
      <c r="G109" s="382"/>
      <c r="H109" s="381" t="s">
        <v>175</v>
      </c>
      <c r="I109" s="381"/>
    </row>
    <row r="110" spans="1:9" x14ac:dyDescent="0.2">
      <c r="A110" s="387" t="s">
        <v>152</v>
      </c>
      <c r="B110" s="383" t="s">
        <v>26</v>
      </c>
      <c r="C110" s="141" t="s">
        <v>27</v>
      </c>
      <c r="D110" s="21" t="s">
        <v>154</v>
      </c>
      <c r="E110" s="138">
        <f>IF(D108&lt;=10000000,IF(A108&lt;65,IF(D106&lt;600000,0,IF(D106&lt;1300000,D106-600000,0)),0),0)</f>
        <v>0</v>
      </c>
      <c r="F110" s="141" t="s">
        <v>169</v>
      </c>
      <c r="G110" s="138">
        <f>IF(AND(D108&lt;=20000000,D108&gt;10000000),IF(A108&lt;65,IF(D106&lt;500000,0,IF(D106&lt;1300000,D106-500000,0)),0),0)</f>
        <v>0</v>
      </c>
      <c r="H110" s="141" t="s">
        <v>168</v>
      </c>
      <c r="I110" s="138">
        <f>IF(D108&gt;20000000,IF(A108&lt;65,IF(D106&lt;400000,0,IF(D106&lt;1300000,D106-400000,0)),0),0)</f>
        <v>0</v>
      </c>
    </row>
    <row r="111" spans="1:9" x14ac:dyDescent="0.2">
      <c r="A111" s="387"/>
      <c r="B111" s="385"/>
      <c r="C111" s="141" t="s">
        <v>28</v>
      </c>
      <c r="D111" s="21" t="s">
        <v>155</v>
      </c>
      <c r="E111" s="138">
        <f>IF(D108&lt;=10000000,IF(A108&lt;65,IF(D106&lt;1300000,0,IF(D106&lt;4100000,ROUNDDOWN(D106*0.75,0)-275000,0)),0),0)</f>
        <v>0</v>
      </c>
      <c r="F111" s="141" t="s">
        <v>162</v>
      </c>
      <c r="G111" s="138">
        <f>IF(AND(D108&lt;=20000000,D108&gt;10000000),IF(A108&lt;65,IF(D106&lt;1300000,0,IF(D106&lt;4100000,ROUNDDOWN(D106*0.75,0)-175000,0)),0),0)</f>
        <v>0</v>
      </c>
      <c r="H111" s="141" t="s">
        <v>170</v>
      </c>
      <c r="I111" s="138">
        <f>IF(D108&gt;20000000,IF(A108&lt;65,IF(D106&lt;1300000,0,IF(D106&lt;4100000,ROUNDDOWN(D106*0.75,0)-75000,0)),0),0)</f>
        <v>0</v>
      </c>
    </row>
    <row r="112" spans="1:9" x14ac:dyDescent="0.2">
      <c r="A112" s="387"/>
      <c r="B112" s="385"/>
      <c r="C112" s="141" t="s">
        <v>29</v>
      </c>
      <c r="D112" s="21" t="s">
        <v>156</v>
      </c>
      <c r="E112" s="138">
        <f>IF(D108&lt;=10000000,IF(A108&lt;65,IF(D106&lt;4100000,0,IF(D106&lt;7700000,ROUNDDOWN(D106*0.85,0)-685000,0)),0),0)</f>
        <v>0</v>
      </c>
      <c r="F112" s="141" t="s">
        <v>163</v>
      </c>
      <c r="G112" s="138">
        <f>IF(AND(D108&lt;=20000000,D108&gt;10000000),IF(A108&lt;65,IF(D106&lt;4100000,0,IF(D106&lt;7700000,ROUNDDOWN(D106*0.85,0)-585000,0)),0),0)</f>
        <v>0</v>
      </c>
      <c r="H112" s="141" t="s">
        <v>171</v>
      </c>
      <c r="I112" s="138">
        <f>IF(D108&gt;20000000,IF(A108&lt;65,IF(D106&lt;4100000,0,IF(D106&lt;7700000,ROUNDDOWN(D106*0.85,0)-485000,0)),0),0)</f>
        <v>0</v>
      </c>
    </row>
    <row r="113" spans="1:9" x14ac:dyDescent="0.2">
      <c r="A113" s="387"/>
      <c r="B113" s="385"/>
      <c r="C113" s="141" t="s">
        <v>150</v>
      </c>
      <c r="D113" s="21" t="s">
        <v>157</v>
      </c>
      <c r="E113" s="138">
        <f>IF(D108&lt;=10000000,IF(A108&lt;65,IF(D106&lt;7700000,0,IF(D106&lt;10000000,ROUNDDOWN(D106*0.95,0)-1455000,0)),0),0)</f>
        <v>0</v>
      </c>
      <c r="F113" s="141" t="s">
        <v>164</v>
      </c>
      <c r="G113" s="138">
        <f>IF(AND(D108&lt;=20000000,D108&gt;10000000),IF(A108&lt;65,IF(D106&lt;7700000,0,IF(D106&lt;10000000,ROUNDDOWN(D106*0.95,0)-1355000,0)),0),0)</f>
        <v>0</v>
      </c>
      <c r="H113" s="141" t="s">
        <v>172</v>
      </c>
      <c r="I113" s="138">
        <f>IF(D108&gt;20000000,IF(A108&lt;65,IF(D106&lt;7700000,0,IF(D106&lt;10000000,ROUNDDOWN(D106*0.95,0)-1255000,0)),0),0)</f>
        <v>0</v>
      </c>
    </row>
    <row r="114" spans="1:9" x14ac:dyDescent="0.2">
      <c r="A114" s="387"/>
      <c r="B114" s="386"/>
      <c r="C114" s="141" t="s">
        <v>151</v>
      </c>
      <c r="D114" s="21" t="s">
        <v>158</v>
      </c>
      <c r="E114" s="138">
        <f>IF(D108&lt;=10000000,IF(A108&lt;65,IF(D106&lt;10000000,0,IF(D106&gt;9999999,D106-1955000,0)),0),0)</f>
        <v>0</v>
      </c>
      <c r="F114" s="141" t="s">
        <v>165</v>
      </c>
      <c r="G114" s="138">
        <f>IF(AND(D108&lt;=20000000,D108&gt;10000000),IF(A108&lt;65,IF(D106&lt;10000000,0,IF(D106&gt;9999999,D106-1855000,0)),0),0)</f>
        <v>0</v>
      </c>
      <c r="H114" s="141" t="s">
        <v>173</v>
      </c>
      <c r="I114" s="138">
        <f>IF(D108&gt;20000000,IF(A108&lt;65,IF(D106&lt;10000000,0,IF(D106&gt;9999999,D106-1755000,0)),0),0)</f>
        <v>0</v>
      </c>
    </row>
    <row r="115" spans="1:9" x14ac:dyDescent="0.2">
      <c r="A115" s="387"/>
      <c r="B115" s="383" t="s">
        <v>30</v>
      </c>
      <c r="C115" s="141" t="s">
        <v>31</v>
      </c>
      <c r="D115" s="21" t="s">
        <v>159</v>
      </c>
      <c r="E115" s="138">
        <f>IF(D108&lt;=10000000,IF(A108&gt;64,IF(D106&lt;1100000,0,IF(D106&lt;3300000,D106-1100000,0)),0),0)</f>
        <v>0</v>
      </c>
      <c r="F115" s="141" t="s">
        <v>166</v>
      </c>
      <c r="G115" s="138">
        <f>IF(AND(D108&lt;=20000000,D108&gt;10000000),IF(A108&gt;64,IF(D106&lt;1000000,0,IF(D106&lt;3300000,D106-1000000,0)),0),0)</f>
        <v>0</v>
      </c>
      <c r="H115" s="141" t="s">
        <v>174</v>
      </c>
      <c r="I115" s="138">
        <f>IF(D108&gt;20000000,IF(A108&gt;64,IF(D106&lt;900000,0,IF(D106&lt;3300000,D106-900000,0)),0),0)</f>
        <v>0</v>
      </c>
    </row>
    <row r="116" spans="1:9" x14ac:dyDescent="0.2">
      <c r="A116" s="387"/>
      <c r="B116" s="385"/>
      <c r="C116" s="141" t="s">
        <v>32</v>
      </c>
      <c r="D116" s="21" t="s">
        <v>155</v>
      </c>
      <c r="E116" s="138">
        <f>IF(D108&lt;=10000000,IF(A108&gt;64,IF(D106&lt;3300000,0,IF(D106&lt;4100000,ROUNDDOWN(D106*0.75,0)-275000,0)),0),0)</f>
        <v>0</v>
      </c>
      <c r="F116" s="141" t="s">
        <v>162</v>
      </c>
      <c r="G116" s="138">
        <f>IF(AND(D108&lt;=20000000,D108&gt;10000000),IF(A108&gt;64,IF(D106&lt;3300000,0,IF(D106&lt;4100000,ROUNDDOWN(D106*0.75,0)-175000,0)),0),0)</f>
        <v>0</v>
      </c>
      <c r="H116" s="141" t="s">
        <v>170</v>
      </c>
      <c r="I116" s="138">
        <f>IF(D108&gt;20000000,IF(A108&gt;64,IF(D106&lt;3300000,0,IF(D106&lt;4100000,ROUNDDOWN(D106*0.75,0)-75000,0)),0),0)</f>
        <v>0</v>
      </c>
    </row>
    <row r="117" spans="1:9" x14ac:dyDescent="0.2">
      <c r="A117" s="387"/>
      <c r="B117" s="385"/>
      <c r="C117" s="141" t="s">
        <v>29</v>
      </c>
      <c r="D117" s="21" t="s">
        <v>156</v>
      </c>
      <c r="E117" s="138">
        <f>IF(D108&lt;=10000000,IF(A108&gt;64,IF(D106&lt;4100000,0,IF(D106&lt;7700000,ROUNDDOWN(D106*0.85,0)-685000,0)),0),0)</f>
        <v>0</v>
      </c>
      <c r="F117" s="141" t="s">
        <v>163</v>
      </c>
      <c r="G117" s="138">
        <f>IF(AND(D108&lt;=20000000,D108&gt;10000000),IF(A108&gt;64,IF(D106&lt;4100000,0,IF(D106&lt;7700000,ROUNDDOWN(D106*0.85,0)-585000,0)),0),0)</f>
        <v>0</v>
      </c>
      <c r="H117" s="141" t="s">
        <v>171</v>
      </c>
      <c r="I117" s="138">
        <f>IF(D108&gt;20000000,IF(A108&gt;64,IF(D106&lt;4100000,0,IF(D106&lt;7700000,ROUNDDOWN(D106*0.85,0)-485000,0)),0),0)</f>
        <v>0</v>
      </c>
    </row>
    <row r="118" spans="1:9" x14ac:dyDescent="0.2">
      <c r="A118" s="387"/>
      <c r="B118" s="385"/>
      <c r="C118" s="141" t="s">
        <v>150</v>
      </c>
      <c r="D118" s="21" t="s">
        <v>157</v>
      </c>
      <c r="E118" s="138">
        <f>IF(D108&lt;=10000000,IF(A108&gt;64,IF(D106&lt;7700000,0,IF(D106&lt;10000000,ROUNDDOWN(D106*0.95,0)-1455000,0)),0),0)</f>
        <v>0</v>
      </c>
      <c r="F118" s="141" t="s">
        <v>164</v>
      </c>
      <c r="G118" s="138">
        <f>IF(AND(D108&lt;=20000000,D108&gt;10000000),IF(A108&gt;64,IF(D106&lt;7700000,0,IF(D106&lt;10000000,ROUNDDOWN(D106*0.95,0)-1355000,0)),0),0)</f>
        <v>0</v>
      </c>
      <c r="H118" s="141" t="s">
        <v>172</v>
      </c>
      <c r="I118" s="138">
        <f>IF(D108&gt;20000000,IF(A108&gt;64,IF(D106&lt;7700000,0,IF(D106&lt;10000000,ROUNDDOWN(D106*0.95,0)-1255000,0)),0),0)</f>
        <v>0</v>
      </c>
    </row>
    <row r="119" spans="1:9" x14ac:dyDescent="0.2">
      <c r="A119" s="387"/>
      <c r="B119" s="386"/>
      <c r="C119" s="141" t="s">
        <v>151</v>
      </c>
      <c r="D119" s="21" t="s">
        <v>158</v>
      </c>
      <c r="E119" s="138">
        <f>IF(D108&lt;=10000000,IF(A108&gt;64,IF(D106&lt;10000000,0,IF(D106&gt;9999999,D106-1955000,0)),0),0)</f>
        <v>0</v>
      </c>
      <c r="F119" s="141" t="s">
        <v>165</v>
      </c>
      <c r="G119" s="138">
        <f>IF(AND(D108&lt;=20000000,D108&gt;10000000),IF(A108&gt;64,IF(D106&lt;10000000,0,IF(D106&gt;9999999,D106-1855000,0)),0),0)</f>
        <v>0</v>
      </c>
      <c r="H119" s="141" t="s">
        <v>173</v>
      </c>
      <c r="I119" s="138">
        <f>IF(D108&gt;20000000,IF(A108&gt;64,IF(D106&lt;10000000,0,IF(D106&gt;9999999,D106-1755000,0)),0),0)</f>
        <v>0</v>
      </c>
    </row>
    <row r="120" spans="1:9" ht="13.5" thickBot="1" x14ac:dyDescent="0.25">
      <c r="B120" s="143"/>
      <c r="C120" s="143"/>
      <c r="D120" s="143"/>
      <c r="E120" s="143"/>
      <c r="F120" s="143"/>
      <c r="G120" s="143"/>
      <c r="H120" s="143"/>
    </row>
    <row r="121" spans="1:9" ht="13.5" thickBot="1" x14ac:dyDescent="0.25">
      <c r="A121" s="144"/>
      <c r="B121" s="145"/>
      <c r="C121" s="146" t="s">
        <v>153</v>
      </c>
      <c r="D121" s="160">
        <f>計算シート!P19</f>
        <v>0</v>
      </c>
      <c r="E121" s="147"/>
      <c r="F121" s="164" t="s">
        <v>189</v>
      </c>
      <c r="G121" s="163" t="str">
        <f>IF(計算シート!AF19="","",SUM(E125:E134,G125:G134,I125:I134))</f>
        <v/>
      </c>
      <c r="H121" s="165" t="s">
        <v>1</v>
      </c>
      <c r="I121" s="145"/>
    </row>
    <row r="122" spans="1:9" ht="13.5" thickBot="1" x14ac:dyDescent="0.25">
      <c r="A122" s="382" t="s">
        <v>25</v>
      </c>
      <c r="B122" s="382"/>
      <c r="C122" s="139" t="s">
        <v>35</v>
      </c>
      <c r="D122" s="161" t="str">
        <f>IF(計算シート!AF19="","",計算シート!AF19)</f>
        <v/>
      </c>
      <c r="E122" s="29"/>
      <c r="F122" s="29"/>
      <c r="G122" s="29"/>
      <c r="H122" s="29"/>
      <c r="I122" s="145"/>
    </row>
    <row r="123" spans="1:9" x14ac:dyDescent="0.2">
      <c r="A123" s="383" t="str">
        <f>IFERROR(IF(D122="","",DATEDIF($D122,$J$2,"Y")),0)</f>
        <v/>
      </c>
      <c r="B123" s="383"/>
      <c r="C123" s="148" t="s">
        <v>149</v>
      </c>
      <c r="D123" s="162">
        <f>IF(計算シート!K19="",計算シート!C19+0+計算シート!X19,計算シート!C19+計算シート!K19+計算シート!X19)</f>
        <v>0</v>
      </c>
      <c r="E123" s="147"/>
      <c r="F123" s="147"/>
      <c r="G123" s="147"/>
      <c r="H123" s="147"/>
      <c r="I123" s="145"/>
    </row>
    <row r="124" spans="1:9" x14ac:dyDescent="0.2">
      <c r="A124" s="384" t="s">
        <v>167</v>
      </c>
      <c r="B124" s="384"/>
      <c r="C124" s="384"/>
      <c r="D124" s="381" t="s">
        <v>160</v>
      </c>
      <c r="E124" s="381"/>
      <c r="F124" s="382" t="s">
        <v>161</v>
      </c>
      <c r="G124" s="382"/>
      <c r="H124" s="381" t="s">
        <v>175</v>
      </c>
      <c r="I124" s="381"/>
    </row>
    <row r="125" spans="1:9" x14ac:dyDescent="0.2">
      <c r="A125" s="387" t="s">
        <v>152</v>
      </c>
      <c r="B125" s="383" t="s">
        <v>26</v>
      </c>
      <c r="C125" s="141" t="s">
        <v>27</v>
      </c>
      <c r="D125" s="21" t="s">
        <v>154</v>
      </c>
      <c r="E125" s="138">
        <f>IF(D123&lt;=10000000,IF(A123&lt;65,IF(D121&lt;600000,0,IF(D121&lt;1300000,D121-600000,0)),0),0)</f>
        <v>0</v>
      </c>
      <c r="F125" s="141" t="s">
        <v>169</v>
      </c>
      <c r="G125" s="138">
        <f>IF(AND(D123&lt;=20000000,D123&gt;10000000),IF(A123&lt;65,IF(D121&lt;500000,0,IF(D121&lt;1300000,D121-500000,0)),0),0)</f>
        <v>0</v>
      </c>
      <c r="H125" s="141" t="s">
        <v>168</v>
      </c>
      <c r="I125" s="138">
        <f>IF(D123&gt;20000000,IF(A123&lt;65,IF(D121&lt;400000,0,IF(D121&lt;1300000,D121-400000,0)),0),0)</f>
        <v>0</v>
      </c>
    </row>
    <row r="126" spans="1:9" x14ac:dyDescent="0.2">
      <c r="A126" s="387"/>
      <c r="B126" s="385"/>
      <c r="C126" s="141" t="s">
        <v>28</v>
      </c>
      <c r="D126" s="21" t="s">
        <v>155</v>
      </c>
      <c r="E126" s="138">
        <f>IF(D123&lt;=10000000,IF(A123&lt;65,IF(D121&lt;1300000,0,IF(D121&lt;4100000,ROUNDDOWN(D121*0.75,0)-275000,0)),0),0)</f>
        <v>0</v>
      </c>
      <c r="F126" s="141" t="s">
        <v>162</v>
      </c>
      <c r="G126" s="138">
        <f>IF(AND(D123&lt;=20000000,D123&gt;10000000),IF(A123&lt;65,IF(D121&lt;1300000,0,IF(D121&lt;4100000,ROUNDDOWN(D121*0.75,0)-175000,0)),0),0)</f>
        <v>0</v>
      </c>
      <c r="H126" s="141" t="s">
        <v>170</v>
      </c>
      <c r="I126" s="138">
        <f>IF(D123&gt;20000000,IF(A123&lt;65,IF(D121&lt;1300000,0,IF(D121&lt;4100000,ROUNDDOWN(D121*0.75,0)-75000,0)),0),0)</f>
        <v>0</v>
      </c>
    </row>
    <row r="127" spans="1:9" x14ac:dyDescent="0.2">
      <c r="A127" s="387"/>
      <c r="B127" s="385"/>
      <c r="C127" s="141" t="s">
        <v>29</v>
      </c>
      <c r="D127" s="21" t="s">
        <v>156</v>
      </c>
      <c r="E127" s="138">
        <f>IF(D123&lt;=10000000,IF(A123&lt;65,IF(D121&lt;4100000,0,IF(D121&lt;7700000,ROUNDDOWN(D121*0.85,0)-685000,0)),0),0)</f>
        <v>0</v>
      </c>
      <c r="F127" s="141" t="s">
        <v>163</v>
      </c>
      <c r="G127" s="138">
        <f>IF(AND(D123&lt;=20000000,D123&gt;10000000),IF(A123&lt;65,IF(D121&lt;4100000,0,IF(D121&lt;7700000,ROUNDDOWN(D121*0.85,0)-585000,0)),0),0)</f>
        <v>0</v>
      </c>
      <c r="H127" s="141" t="s">
        <v>171</v>
      </c>
      <c r="I127" s="138">
        <f>IF(D123&gt;20000000,IF(A123&lt;65,IF(D121&lt;4100000,0,IF(D121&lt;7700000,ROUNDDOWN(D121*0.85,0)-485000,0)),0),0)</f>
        <v>0</v>
      </c>
    </row>
    <row r="128" spans="1:9" x14ac:dyDescent="0.2">
      <c r="A128" s="387"/>
      <c r="B128" s="385"/>
      <c r="C128" s="141" t="s">
        <v>150</v>
      </c>
      <c r="D128" s="21" t="s">
        <v>157</v>
      </c>
      <c r="E128" s="138">
        <f>IF(D123&lt;=10000000,IF(A123&lt;65,IF(D121&lt;7700000,0,IF(D121&lt;10000000,ROUNDDOWN(D121*0.95,0)-1455000,0)),0),0)</f>
        <v>0</v>
      </c>
      <c r="F128" s="141" t="s">
        <v>164</v>
      </c>
      <c r="G128" s="138">
        <f>IF(AND(D123&lt;=20000000,D123&gt;10000000),IF(A123&lt;65,IF(D121&lt;7700000,0,IF(D121&lt;10000000,ROUNDDOWN(D121*0.95,0)-1355000,0)),0),0)</f>
        <v>0</v>
      </c>
      <c r="H128" s="141" t="s">
        <v>172</v>
      </c>
      <c r="I128" s="138">
        <f>IF(D123&gt;20000000,IF(A123&lt;65,IF(D121&lt;7700000,0,IF(D121&lt;10000000,ROUNDDOWN(D121*0.95,0)-1255000,0)),0),0)</f>
        <v>0</v>
      </c>
    </row>
    <row r="129" spans="1:9" x14ac:dyDescent="0.2">
      <c r="A129" s="387"/>
      <c r="B129" s="386"/>
      <c r="C129" s="141" t="s">
        <v>151</v>
      </c>
      <c r="D129" s="21" t="s">
        <v>158</v>
      </c>
      <c r="E129" s="138">
        <f>IF(D123&lt;=10000000,IF(A123&lt;65,IF(D121&lt;10000000,0,IF(D121&gt;9999999,D121-1955000,0)),0),0)</f>
        <v>0</v>
      </c>
      <c r="F129" s="141" t="s">
        <v>165</v>
      </c>
      <c r="G129" s="138">
        <f>IF(AND(D123&lt;=20000000,D123&gt;10000000),IF(A123&lt;65,IF(D121&lt;10000000,0,IF(D121&gt;9999999,D121-1855000,0)),0),0)</f>
        <v>0</v>
      </c>
      <c r="H129" s="141" t="s">
        <v>173</v>
      </c>
      <c r="I129" s="138">
        <f>IF(D123&gt;20000000,IF(A123&lt;65,IF(D121&lt;10000000,0,IF(D121&gt;9999999,D121-1755000,0)),0),0)</f>
        <v>0</v>
      </c>
    </row>
    <row r="130" spans="1:9" x14ac:dyDescent="0.2">
      <c r="A130" s="387"/>
      <c r="B130" s="383" t="s">
        <v>30</v>
      </c>
      <c r="C130" s="141" t="s">
        <v>31</v>
      </c>
      <c r="D130" s="21" t="s">
        <v>159</v>
      </c>
      <c r="E130" s="138">
        <f>IF(D123&lt;=10000000,IF(A123&gt;64,IF(D121&lt;1100000,0,IF(D121&lt;3300000,D121-1100000,0)),0),0)</f>
        <v>0</v>
      </c>
      <c r="F130" s="141" t="s">
        <v>166</v>
      </c>
      <c r="G130" s="138">
        <f>IF(AND(D123&lt;=20000000,D123&gt;10000000),IF(A123&gt;64,IF(D121&lt;1000000,0,IF(D121&lt;3300000,D121-1000000,0)),0),0)</f>
        <v>0</v>
      </c>
      <c r="H130" s="141" t="s">
        <v>174</v>
      </c>
      <c r="I130" s="138">
        <f>IF(D123&gt;20000000,IF(A123&gt;64,IF(D121&lt;900000,0,IF(D121&lt;3300000,D121-900000,0)),0),0)</f>
        <v>0</v>
      </c>
    </row>
    <row r="131" spans="1:9" x14ac:dyDescent="0.2">
      <c r="A131" s="387"/>
      <c r="B131" s="385"/>
      <c r="C131" s="141" t="s">
        <v>32</v>
      </c>
      <c r="D131" s="21" t="s">
        <v>155</v>
      </c>
      <c r="E131" s="138">
        <f>IF(D123&lt;=10000000,IF(A123&gt;64,IF(D121&lt;3300000,0,IF(D121&lt;4100000,ROUNDDOWN(D121*0.75,0)-275000,0)),0),0)</f>
        <v>0</v>
      </c>
      <c r="F131" s="141" t="s">
        <v>162</v>
      </c>
      <c r="G131" s="138">
        <f>IF(AND(D123&lt;=20000000,D123&gt;10000000),IF(A123&gt;64,IF(D121&lt;3300000,0,IF(D121&lt;4100000,ROUNDDOWN(D121*0.75,0)-175000,0)),0),0)</f>
        <v>0</v>
      </c>
      <c r="H131" s="141" t="s">
        <v>170</v>
      </c>
      <c r="I131" s="138">
        <f>IF(D123&gt;20000000,IF(A123&gt;64,IF(D121&lt;3300000,0,IF(D121&lt;4100000,ROUNDDOWN(D121*0.75,0)-75000,0)),0),0)</f>
        <v>0</v>
      </c>
    </row>
    <row r="132" spans="1:9" x14ac:dyDescent="0.2">
      <c r="A132" s="387"/>
      <c r="B132" s="385"/>
      <c r="C132" s="141" t="s">
        <v>29</v>
      </c>
      <c r="D132" s="21" t="s">
        <v>156</v>
      </c>
      <c r="E132" s="138">
        <f>IF(D123&lt;=10000000,IF(A123&gt;64,IF(D121&lt;4100000,0,IF(D121&lt;7700000,ROUNDDOWN(D121*0.85,0)-685000,0)),0),0)</f>
        <v>0</v>
      </c>
      <c r="F132" s="141" t="s">
        <v>163</v>
      </c>
      <c r="G132" s="138">
        <f>IF(AND(D123&lt;=20000000,D123&gt;10000000),IF(A123&gt;64,IF(D121&lt;4100000,0,IF(D121&lt;7700000,ROUNDDOWN(D121*0.85,0)-585000,0)),0),0)</f>
        <v>0</v>
      </c>
      <c r="H132" s="141" t="s">
        <v>171</v>
      </c>
      <c r="I132" s="138">
        <f>IF(D123&gt;20000000,IF(A123&gt;64,IF(D121&lt;4100000,0,IF(D121&lt;7700000,ROUNDDOWN(D121*0.85,0)-485000,0)),0),0)</f>
        <v>0</v>
      </c>
    </row>
    <row r="133" spans="1:9" x14ac:dyDescent="0.2">
      <c r="A133" s="387"/>
      <c r="B133" s="385"/>
      <c r="C133" s="141" t="s">
        <v>150</v>
      </c>
      <c r="D133" s="21" t="s">
        <v>157</v>
      </c>
      <c r="E133" s="138">
        <f>IF(D123&lt;=10000000,IF(A123&gt;64,IF(D121&lt;7700000,0,IF(D121&lt;10000000,ROUNDDOWN(D121*0.95,0)-1455000,0)),0),0)</f>
        <v>0</v>
      </c>
      <c r="F133" s="141" t="s">
        <v>164</v>
      </c>
      <c r="G133" s="138">
        <f>IF(AND(D123&lt;=20000000,D123&gt;10000000),IF(A123&gt;64,IF(D121&lt;7700000,0,IF(D121&lt;10000000,ROUNDDOWN(D121*0.95,0)-1355000,0)),0),0)</f>
        <v>0</v>
      </c>
      <c r="H133" s="141" t="s">
        <v>172</v>
      </c>
      <c r="I133" s="138">
        <f>IF(D123&gt;20000000,IF(A123&gt;64,IF(D121&lt;7700000,0,IF(D121&lt;10000000,ROUNDDOWN(D121*0.95,0)-1255000,0)),0),0)</f>
        <v>0</v>
      </c>
    </row>
    <row r="134" spans="1:9" x14ac:dyDescent="0.2">
      <c r="A134" s="387"/>
      <c r="B134" s="386"/>
      <c r="C134" s="141" t="s">
        <v>151</v>
      </c>
      <c r="D134" s="21" t="s">
        <v>158</v>
      </c>
      <c r="E134" s="138">
        <f>IF(D123&lt;=10000000,IF(A123&gt;64,IF(D121&lt;10000000,0,IF(D121&gt;9999999,D121-1955000,0)),0),0)</f>
        <v>0</v>
      </c>
      <c r="F134" s="141" t="s">
        <v>165</v>
      </c>
      <c r="G134" s="138">
        <f>IF(AND(D123&lt;=20000000,D123&gt;10000000),IF(A123&gt;64,IF(D121&lt;10000000,0,IF(D121&gt;9999999,D121-1855000,0)),0),0)</f>
        <v>0</v>
      </c>
      <c r="H134" s="141" t="s">
        <v>173</v>
      </c>
      <c r="I134" s="138">
        <f>IF(D123&gt;20000000,IF(A123&gt;64,IF(D121&lt;10000000,0,IF(D121&gt;9999999,D121-1755000,0)),0),0)</f>
        <v>0</v>
      </c>
    </row>
    <row r="135" spans="1:9" ht="13.5" thickBot="1" x14ac:dyDescent="0.25">
      <c r="B135" s="143"/>
      <c r="C135" s="143"/>
      <c r="D135" s="143"/>
      <c r="E135" s="143"/>
      <c r="F135" s="143"/>
      <c r="G135" s="143"/>
      <c r="H135" s="143"/>
    </row>
    <row r="136" spans="1:9" ht="13.5" thickBot="1" x14ac:dyDescent="0.25">
      <c r="A136" s="144"/>
      <c r="B136" s="145"/>
      <c r="C136" s="146" t="s">
        <v>153</v>
      </c>
      <c r="D136" s="160">
        <f>計算シート!P20</f>
        <v>0</v>
      </c>
      <c r="E136" s="147"/>
      <c r="F136" s="164" t="s">
        <v>190</v>
      </c>
      <c r="G136" s="163" t="str">
        <f>IF(計算シート!AF20="","",SUM(E140:E149,G140:G149,I140:I149))</f>
        <v/>
      </c>
      <c r="H136" s="165" t="s">
        <v>1</v>
      </c>
      <c r="I136" s="145"/>
    </row>
    <row r="137" spans="1:9" ht="13.5" thickBot="1" x14ac:dyDescent="0.25">
      <c r="A137" s="382" t="s">
        <v>25</v>
      </c>
      <c r="B137" s="382"/>
      <c r="C137" s="139" t="s">
        <v>35</v>
      </c>
      <c r="D137" s="161" t="str">
        <f>IF(計算シート!AF20="","",計算シート!AF20)</f>
        <v/>
      </c>
      <c r="E137" s="29"/>
      <c r="F137" s="29"/>
      <c r="G137" s="29"/>
      <c r="H137" s="29"/>
      <c r="I137" s="145"/>
    </row>
    <row r="138" spans="1:9" x14ac:dyDescent="0.2">
      <c r="A138" s="383" t="str">
        <f>IFERROR(IF(D137="","",DATEDIF($D137,$J$2,"Y")),0)</f>
        <v/>
      </c>
      <c r="B138" s="383"/>
      <c r="C138" s="148" t="s">
        <v>149</v>
      </c>
      <c r="D138" s="162">
        <f>IF(計算シート!K20="",計算シート!C20+0+計算シート!X20,計算シート!C20+計算シート!K20+計算シート!X20)</f>
        <v>0</v>
      </c>
      <c r="E138" s="147"/>
      <c r="F138" s="147"/>
      <c r="G138" s="147"/>
      <c r="H138" s="147"/>
      <c r="I138" s="145"/>
    </row>
    <row r="139" spans="1:9" x14ac:dyDescent="0.2">
      <c r="A139" s="384" t="s">
        <v>167</v>
      </c>
      <c r="B139" s="384"/>
      <c r="C139" s="384"/>
      <c r="D139" s="381" t="s">
        <v>160</v>
      </c>
      <c r="E139" s="381"/>
      <c r="F139" s="382" t="s">
        <v>161</v>
      </c>
      <c r="G139" s="382"/>
      <c r="H139" s="381" t="s">
        <v>175</v>
      </c>
      <c r="I139" s="381"/>
    </row>
    <row r="140" spans="1:9" x14ac:dyDescent="0.2">
      <c r="A140" s="387" t="s">
        <v>152</v>
      </c>
      <c r="B140" s="383" t="s">
        <v>26</v>
      </c>
      <c r="C140" s="141" t="s">
        <v>27</v>
      </c>
      <c r="D140" s="21" t="s">
        <v>154</v>
      </c>
      <c r="E140" s="138">
        <f>IF(D138&lt;=10000000,IF(A138&lt;65,IF(D136&lt;600000,0,IF(D136&lt;1300000,D136-600000,0)),0),0)</f>
        <v>0</v>
      </c>
      <c r="F140" s="141" t="s">
        <v>169</v>
      </c>
      <c r="G140" s="138">
        <f>IF(AND(D138&lt;=20000000,D138&gt;10000000),IF(A138&lt;65,IF(D136&lt;500000,0,IF(D136&lt;1300000,D136-500000,0)),0),0)</f>
        <v>0</v>
      </c>
      <c r="H140" s="141" t="s">
        <v>168</v>
      </c>
      <c r="I140" s="138">
        <f>IF(D138&gt;20000000,IF(A138&lt;65,IF(D136&lt;400000,0,IF(D136&lt;1300000,D136-400000,0)),0),0)</f>
        <v>0</v>
      </c>
    </row>
    <row r="141" spans="1:9" x14ac:dyDescent="0.2">
      <c r="A141" s="387"/>
      <c r="B141" s="385"/>
      <c r="C141" s="141" t="s">
        <v>28</v>
      </c>
      <c r="D141" s="21" t="s">
        <v>155</v>
      </c>
      <c r="E141" s="138">
        <f>IF(D138&lt;=10000000,IF(A138&lt;65,IF(D136&lt;1300000,0,IF(D136&lt;4100000,ROUNDDOWN(D136*0.75,0)-275000,0)),0),0)</f>
        <v>0</v>
      </c>
      <c r="F141" s="141" t="s">
        <v>162</v>
      </c>
      <c r="G141" s="138">
        <f>IF(AND(D138&lt;=20000000,D138&gt;10000000),IF(A138&lt;65,IF(D136&lt;1300000,0,IF(D136&lt;4100000,ROUNDDOWN(D136*0.75,0)-175000,0)),0),0)</f>
        <v>0</v>
      </c>
      <c r="H141" s="141" t="s">
        <v>170</v>
      </c>
      <c r="I141" s="138">
        <f>IF(D138&gt;20000000,IF(A138&lt;65,IF(D136&lt;1300000,0,IF(D136&lt;4100000,ROUNDDOWN(D136*0.75,0)-75000,0)),0),0)</f>
        <v>0</v>
      </c>
    </row>
    <row r="142" spans="1:9" x14ac:dyDescent="0.2">
      <c r="A142" s="387"/>
      <c r="B142" s="385"/>
      <c r="C142" s="141" t="s">
        <v>29</v>
      </c>
      <c r="D142" s="21" t="s">
        <v>156</v>
      </c>
      <c r="E142" s="138">
        <f>IF(D138&lt;=10000000,IF(A138&lt;65,IF(D136&lt;4100000,0,IF(D136&lt;7700000,ROUNDDOWN(D136*0.85,0)-685000,0)),0),0)</f>
        <v>0</v>
      </c>
      <c r="F142" s="141" t="s">
        <v>163</v>
      </c>
      <c r="G142" s="138">
        <f>IF(AND(D138&lt;=20000000,D138&gt;10000000),IF(A138&lt;65,IF(D136&lt;4100000,0,IF(D136&lt;7700000,ROUNDDOWN(D136*0.85,0)-585000,0)),0),0)</f>
        <v>0</v>
      </c>
      <c r="H142" s="141" t="s">
        <v>171</v>
      </c>
      <c r="I142" s="138">
        <f>IF(D138&gt;20000000,IF(A138&lt;65,IF(D136&lt;4100000,0,IF(D136&lt;7700000,ROUNDDOWN(D136*0.85,0)-485000,0)),0),0)</f>
        <v>0</v>
      </c>
    </row>
    <row r="143" spans="1:9" x14ac:dyDescent="0.2">
      <c r="A143" s="387"/>
      <c r="B143" s="385"/>
      <c r="C143" s="141" t="s">
        <v>150</v>
      </c>
      <c r="D143" s="21" t="s">
        <v>157</v>
      </c>
      <c r="E143" s="138">
        <f>IF(D138&lt;=10000000,IF(A138&lt;65,IF(D136&lt;7700000,0,IF(D136&lt;10000000,ROUNDDOWN(D136*0.95,0)-1455000,0)),0),0)</f>
        <v>0</v>
      </c>
      <c r="F143" s="141" t="s">
        <v>164</v>
      </c>
      <c r="G143" s="138">
        <f>IF(AND(D138&lt;=20000000,D138&gt;10000000),IF(A138&lt;65,IF(D136&lt;7700000,0,IF(D136&lt;10000000,ROUNDDOWN(D136*0.95,0)-1355000,0)),0),0)</f>
        <v>0</v>
      </c>
      <c r="H143" s="141" t="s">
        <v>172</v>
      </c>
      <c r="I143" s="138">
        <f>IF(D138&gt;20000000,IF(A138&lt;65,IF(D136&lt;7700000,0,IF(D136&lt;10000000,ROUNDDOWN(D136*0.95,0)-1255000,0)),0),0)</f>
        <v>0</v>
      </c>
    </row>
    <row r="144" spans="1:9" x14ac:dyDescent="0.2">
      <c r="A144" s="387"/>
      <c r="B144" s="386"/>
      <c r="C144" s="141" t="s">
        <v>151</v>
      </c>
      <c r="D144" s="21" t="s">
        <v>158</v>
      </c>
      <c r="E144" s="138">
        <f>IF(D138&lt;=10000000,IF(A138&lt;65,IF(D136&lt;10000000,0,IF(D136&gt;9999999,D136-1955000,0)),0),0)</f>
        <v>0</v>
      </c>
      <c r="F144" s="141" t="s">
        <v>165</v>
      </c>
      <c r="G144" s="138">
        <f>IF(AND(D138&lt;=20000000,D138&gt;10000000),IF(A138&lt;65,IF(D136&lt;10000000,0,IF(D136&gt;9999999,D136-1855000,0)),0),0)</f>
        <v>0</v>
      </c>
      <c r="H144" s="141" t="s">
        <v>173</v>
      </c>
      <c r="I144" s="138">
        <f>IF(D138&gt;20000000,IF(A138&lt;65,IF(D136&lt;10000000,0,IF(D136&gt;9999999,D136-1755000,0)),0),0)</f>
        <v>0</v>
      </c>
    </row>
    <row r="145" spans="1:9" x14ac:dyDescent="0.2">
      <c r="A145" s="387"/>
      <c r="B145" s="383" t="s">
        <v>30</v>
      </c>
      <c r="C145" s="141" t="s">
        <v>31</v>
      </c>
      <c r="D145" s="21" t="s">
        <v>159</v>
      </c>
      <c r="E145" s="138">
        <f>IF(D138&lt;=10000000,IF(A138&gt;64,IF(D136&lt;1100000,0,IF(D136&lt;3300000,D136-1100000,0)),0),0)</f>
        <v>0</v>
      </c>
      <c r="F145" s="141" t="s">
        <v>166</v>
      </c>
      <c r="G145" s="138">
        <f>IF(AND(D138&lt;=20000000,D138&gt;10000000),IF(A138&gt;64,IF(D136&lt;1000000,0,IF(D136&lt;3300000,D136-1000000,0)),0),0)</f>
        <v>0</v>
      </c>
      <c r="H145" s="141" t="s">
        <v>174</v>
      </c>
      <c r="I145" s="138">
        <f>IF(D138&gt;20000000,IF(A138&gt;64,IF(D136&lt;900000,0,IF(D136&lt;3300000,D136-900000,0)),0),0)</f>
        <v>0</v>
      </c>
    </row>
    <row r="146" spans="1:9" x14ac:dyDescent="0.2">
      <c r="A146" s="387"/>
      <c r="B146" s="385"/>
      <c r="C146" s="141" t="s">
        <v>32</v>
      </c>
      <c r="D146" s="21" t="s">
        <v>155</v>
      </c>
      <c r="E146" s="138">
        <f>IF(D138&lt;=10000000,IF(A138&gt;64,IF(D136&lt;3300000,0,IF(D136&lt;4100000,ROUNDDOWN(D136*0.75,0)-275000,0)),0),0)</f>
        <v>0</v>
      </c>
      <c r="F146" s="141" t="s">
        <v>162</v>
      </c>
      <c r="G146" s="138">
        <f>IF(AND(D138&lt;=20000000,D138&gt;10000000),IF(A138&gt;64,IF(D136&lt;3300000,0,IF(D136&lt;4100000,ROUNDDOWN(D136*0.75,0)-175000,0)),0),0)</f>
        <v>0</v>
      </c>
      <c r="H146" s="141" t="s">
        <v>170</v>
      </c>
      <c r="I146" s="138">
        <f>IF(D138&gt;20000000,IF(A138&gt;64,IF(D136&lt;3300000,0,IF(D136&lt;4100000,ROUNDDOWN(D136*0.75,0)-75000,0)),0),0)</f>
        <v>0</v>
      </c>
    </row>
    <row r="147" spans="1:9" x14ac:dyDescent="0.2">
      <c r="A147" s="387"/>
      <c r="B147" s="385"/>
      <c r="C147" s="141" t="s">
        <v>29</v>
      </c>
      <c r="D147" s="21" t="s">
        <v>156</v>
      </c>
      <c r="E147" s="138">
        <f>IF(D138&lt;=10000000,IF(A138&gt;64,IF(D136&lt;4100000,0,IF(D136&lt;7700000,ROUNDDOWN(D136*0.85,0)-685000,0)),0),0)</f>
        <v>0</v>
      </c>
      <c r="F147" s="141" t="s">
        <v>163</v>
      </c>
      <c r="G147" s="138">
        <f>IF(AND(D138&lt;=20000000,D138&gt;10000000),IF(A138&gt;64,IF(D136&lt;4100000,0,IF(D136&lt;7700000,ROUNDDOWN(D136*0.85,0)-585000,0)),0),0)</f>
        <v>0</v>
      </c>
      <c r="H147" s="141" t="s">
        <v>171</v>
      </c>
      <c r="I147" s="138">
        <f>IF(D138&gt;20000000,IF(A138&gt;64,IF(D136&lt;4100000,0,IF(D136&lt;7700000,ROUNDDOWN(D136*0.85,0)-485000,0)),0),0)</f>
        <v>0</v>
      </c>
    </row>
    <row r="148" spans="1:9" x14ac:dyDescent="0.2">
      <c r="A148" s="387"/>
      <c r="B148" s="385"/>
      <c r="C148" s="141" t="s">
        <v>150</v>
      </c>
      <c r="D148" s="21" t="s">
        <v>157</v>
      </c>
      <c r="E148" s="138">
        <f>IF(D138&lt;=10000000,IF(A138&gt;64,IF(D136&lt;7700000,0,IF(D136&lt;10000000,ROUNDDOWN(D136*0.95,0)-1455000,0)),0),0)</f>
        <v>0</v>
      </c>
      <c r="F148" s="141" t="s">
        <v>164</v>
      </c>
      <c r="G148" s="138">
        <f>IF(AND(D138&lt;=20000000,D138&gt;10000000),IF(A138&gt;64,IF(D136&lt;7700000,0,IF(D136&lt;10000000,ROUNDDOWN(D136*0.95,0)-1355000,0)),0),0)</f>
        <v>0</v>
      </c>
      <c r="H148" s="141" t="s">
        <v>172</v>
      </c>
      <c r="I148" s="138">
        <f>IF(D138&gt;20000000,IF(A138&gt;64,IF(D136&lt;7700000,0,IF(D136&lt;10000000,ROUNDDOWN(D136*0.95,0)-1255000,0)),0),0)</f>
        <v>0</v>
      </c>
    </row>
    <row r="149" spans="1:9" x14ac:dyDescent="0.2">
      <c r="A149" s="387"/>
      <c r="B149" s="386"/>
      <c r="C149" s="141" t="s">
        <v>151</v>
      </c>
      <c r="D149" s="21" t="s">
        <v>158</v>
      </c>
      <c r="E149" s="138">
        <f>IF(D138&lt;=10000000,IF(A138&gt;64,IF(D136&lt;10000000,0,IF(D136&gt;9999999,D136-1955000,0)),0),0)</f>
        <v>0</v>
      </c>
      <c r="F149" s="141" t="s">
        <v>165</v>
      </c>
      <c r="G149" s="138">
        <f>IF(AND(D138&lt;=20000000,D138&gt;10000000),IF(A138&gt;64,IF(D136&lt;10000000,0,IF(D136&gt;9999999,D136-1855000,0)),0),0)</f>
        <v>0</v>
      </c>
      <c r="H149" s="141" t="s">
        <v>173</v>
      </c>
      <c r="I149" s="138">
        <f>IF(D138&gt;20000000,IF(A138&gt;64,IF(D136&lt;10000000,0,IF(D136&gt;9999999,D136-1755000,0)),0),0)</f>
        <v>0</v>
      </c>
    </row>
  </sheetData>
  <sheetProtection algorithmName="SHA-512" hashValue="m9MWU40/LEnEOb3z0z2vljRx0DBluP4qSaCyc4pQKgam84lMTZfbfmxUaSjF7nxquEA/yy2Z4mh/P8AeZNoJcQ==" saltValue="cCm7pnXDsyEcP7dUzoHSlg==" spinCount="100000" sheet="1" selectLockedCells="1" selectUnlockedCells="1"/>
  <mergeCells count="90">
    <mergeCell ref="A140:A149"/>
    <mergeCell ref="B140:B144"/>
    <mergeCell ref="B145:B149"/>
    <mergeCell ref="A138:B138"/>
    <mergeCell ref="A139:C139"/>
    <mergeCell ref="H139:I139"/>
    <mergeCell ref="H124:I124"/>
    <mergeCell ref="A125:A134"/>
    <mergeCell ref="B125:B129"/>
    <mergeCell ref="B130:B134"/>
    <mergeCell ref="A137:B137"/>
    <mergeCell ref="A124:C124"/>
    <mergeCell ref="D124:E124"/>
    <mergeCell ref="F124:G124"/>
    <mergeCell ref="D139:E139"/>
    <mergeCell ref="F139:G139"/>
    <mergeCell ref="A110:A119"/>
    <mergeCell ref="B110:B114"/>
    <mergeCell ref="B115:B119"/>
    <mergeCell ref="A122:B122"/>
    <mergeCell ref="A123:B123"/>
    <mergeCell ref="A108:B108"/>
    <mergeCell ref="A109:C109"/>
    <mergeCell ref="D109:E109"/>
    <mergeCell ref="F109:G109"/>
    <mergeCell ref="H109:I109"/>
    <mergeCell ref="H94:I94"/>
    <mergeCell ref="A95:A104"/>
    <mergeCell ref="B95:B99"/>
    <mergeCell ref="B100:B104"/>
    <mergeCell ref="A107:B107"/>
    <mergeCell ref="A92:B92"/>
    <mergeCell ref="A93:B93"/>
    <mergeCell ref="A94:C94"/>
    <mergeCell ref="D94:E94"/>
    <mergeCell ref="F94:G94"/>
    <mergeCell ref="A79:C79"/>
    <mergeCell ref="D79:E79"/>
    <mergeCell ref="F79:G79"/>
    <mergeCell ref="H79:I79"/>
    <mergeCell ref="A80:A89"/>
    <mergeCell ref="B80:B84"/>
    <mergeCell ref="B85:B89"/>
    <mergeCell ref="A65:A74"/>
    <mergeCell ref="B65:B69"/>
    <mergeCell ref="B70:B74"/>
    <mergeCell ref="A77:B77"/>
    <mergeCell ref="A78:B78"/>
    <mergeCell ref="A63:B63"/>
    <mergeCell ref="A64:C64"/>
    <mergeCell ref="D64:E64"/>
    <mergeCell ref="F64:G64"/>
    <mergeCell ref="H64:I64"/>
    <mergeCell ref="H49:I49"/>
    <mergeCell ref="A50:A59"/>
    <mergeCell ref="B50:B54"/>
    <mergeCell ref="B55:B59"/>
    <mergeCell ref="A62:B62"/>
    <mergeCell ref="A47:B47"/>
    <mergeCell ref="A48:B48"/>
    <mergeCell ref="A49:C49"/>
    <mergeCell ref="D49:E49"/>
    <mergeCell ref="F49:G49"/>
    <mergeCell ref="A34:C34"/>
    <mergeCell ref="D34:E34"/>
    <mergeCell ref="F34:G34"/>
    <mergeCell ref="H34:I34"/>
    <mergeCell ref="A35:A44"/>
    <mergeCell ref="B35:B39"/>
    <mergeCell ref="B40:B44"/>
    <mergeCell ref="D19:E19"/>
    <mergeCell ref="F19:G19"/>
    <mergeCell ref="H19:I19"/>
    <mergeCell ref="A32:B32"/>
    <mergeCell ref="A33:B33"/>
    <mergeCell ref="A20:A29"/>
    <mergeCell ref="B20:B24"/>
    <mergeCell ref="B25:B29"/>
    <mergeCell ref="A19:C19"/>
    <mergeCell ref="B5:B9"/>
    <mergeCell ref="B10:B14"/>
    <mergeCell ref="A5:A14"/>
    <mergeCell ref="A17:B17"/>
    <mergeCell ref="A18:B18"/>
    <mergeCell ref="D4:E4"/>
    <mergeCell ref="F4:G4"/>
    <mergeCell ref="H4:I4"/>
    <mergeCell ref="A2:B2"/>
    <mergeCell ref="A3:B3"/>
    <mergeCell ref="A4:C4"/>
  </mergeCells>
  <phoneticPr fontId="2"/>
  <pageMargins left="0.7" right="0.7" top="0.75" bottom="0.75" header="0.3" footer="0.3"/>
  <pageSetup paperSize="9" scale="85" orientation="landscape" r:id="rId1"/>
  <rowBreaks count="3" manualBreakCount="3">
    <brk id="29" max="8" man="1"/>
    <brk id="59" max="8" man="1"/>
    <brk id="89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7030A0"/>
  </sheetPr>
  <dimension ref="A1:C110"/>
  <sheetViews>
    <sheetView topLeftCell="A2" workbookViewId="0">
      <selection activeCell="A5" sqref="A5"/>
    </sheetView>
  </sheetViews>
  <sheetFormatPr defaultRowHeight="13" x14ac:dyDescent="0.2"/>
  <cols>
    <col min="1" max="1" width="34.90625" bestFit="1" customWidth="1"/>
    <col min="2" max="2" width="26" bestFit="1" customWidth="1"/>
    <col min="3" max="3" width="15.26953125" customWidth="1"/>
  </cols>
  <sheetData>
    <row r="1" spans="1:3" ht="13.5" thickBot="1" x14ac:dyDescent="0.25"/>
    <row r="2" spans="1:3" ht="13.5" thickBot="1" x14ac:dyDescent="0.25">
      <c r="A2" s="28" t="s">
        <v>2</v>
      </c>
      <c r="B2" s="25">
        <f>計算シート!G11</f>
        <v>0</v>
      </c>
      <c r="C2" s="18" t="s">
        <v>206</v>
      </c>
    </row>
    <row r="3" spans="1:3" x14ac:dyDescent="0.2">
      <c r="A3" s="19" t="s">
        <v>15</v>
      </c>
      <c r="B3" s="24" t="s">
        <v>16</v>
      </c>
      <c r="C3" s="19" t="s">
        <v>17</v>
      </c>
    </row>
    <row r="4" spans="1:3" x14ac:dyDescent="0.2">
      <c r="A4" s="20" t="s">
        <v>201</v>
      </c>
      <c r="B4" s="21" t="s">
        <v>18</v>
      </c>
      <c r="C4" s="22">
        <v>0</v>
      </c>
    </row>
    <row r="5" spans="1:3" x14ac:dyDescent="0.2">
      <c r="A5" s="20" t="s">
        <v>202</v>
      </c>
      <c r="B5" s="21" t="s">
        <v>203</v>
      </c>
      <c r="C5" s="22">
        <f>IF(B2&gt;650999,IF(B2&lt;1900000,B2-650000,0),0)</f>
        <v>0</v>
      </c>
    </row>
    <row r="6" spans="1:3" x14ac:dyDescent="0.2">
      <c r="A6" s="20" t="s">
        <v>204</v>
      </c>
      <c r="B6" s="21" t="s">
        <v>143</v>
      </c>
      <c r="C6" s="22">
        <f>IF(B2&gt;1899999,IF(B2&lt;3600000,B11*2.8-80000,0),0)</f>
        <v>0</v>
      </c>
    </row>
    <row r="7" spans="1:3" x14ac:dyDescent="0.2">
      <c r="A7" s="20" t="s">
        <v>19</v>
      </c>
      <c r="B7" s="21" t="s">
        <v>144</v>
      </c>
      <c r="C7" s="22">
        <f>IF(B2&gt;3599999,IF(B2&lt;6600000,B11*3.2-440000,0),0)</f>
        <v>0</v>
      </c>
    </row>
    <row r="8" spans="1:3" x14ac:dyDescent="0.2">
      <c r="A8" s="20" t="s">
        <v>147</v>
      </c>
      <c r="B8" s="21" t="s">
        <v>145</v>
      </c>
      <c r="C8" s="22">
        <f>IF(B2&gt;6599999,IF(B2&lt;8500000,ROUNDDOWN(B2*0.9,0)-1100000,0),0)</f>
        <v>0</v>
      </c>
    </row>
    <row r="9" spans="1:3" x14ac:dyDescent="0.2">
      <c r="A9" s="129" t="s">
        <v>148</v>
      </c>
      <c r="B9" s="21" t="s">
        <v>146</v>
      </c>
      <c r="C9" s="22">
        <f>IF(B2&gt;8499999,B2-1950000,0)</f>
        <v>0</v>
      </c>
    </row>
    <row r="10" spans="1:3" ht="13.5" thickBot="1" x14ac:dyDescent="0.25">
      <c r="A10" s="20"/>
      <c r="B10" s="21"/>
      <c r="C10" s="27"/>
    </row>
    <row r="11" spans="1:3" ht="13.5" thickBot="1" x14ac:dyDescent="0.25">
      <c r="A11" s="23" t="s">
        <v>20</v>
      </c>
      <c r="B11" s="26">
        <f>ROUNDDOWN(B2/4,-3)</f>
        <v>0</v>
      </c>
      <c r="C11" s="25">
        <f>SUM(C4:C10)</f>
        <v>0</v>
      </c>
    </row>
    <row r="12" spans="1:3" ht="13.5" thickBot="1" x14ac:dyDescent="0.25"/>
    <row r="13" spans="1:3" ht="13.5" thickBot="1" x14ac:dyDescent="0.25">
      <c r="A13" s="28" t="s">
        <v>3</v>
      </c>
      <c r="B13" s="25">
        <f>計算シート!G12</f>
        <v>0</v>
      </c>
      <c r="C13" s="18" t="str">
        <f>C2</f>
        <v>R08年分～</v>
      </c>
    </row>
    <row r="14" spans="1:3" x14ac:dyDescent="0.2">
      <c r="A14" s="19" t="s">
        <v>15</v>
      </c>
      <c r="B14" s="24" t="s">
        <v>16</v>
      </c>
      <c r="C14" s="19" t="s">
        <v>17</v>
      </c>
    </row>
    <row r="15" spans="1:3" x14ac:dyDescent="0.2">
      <c r="A15" s="20" t="s">
        <v>201</v>
      </c>
      <c r="B15" s="21" t="s">
        <v>18</v>
      </c>
      <c r="C15" s="22">
        <v>0</v>
      </c>
    </row>
    <row r="16" spans="1:3" x14ac:dyDescent="0.2">
      <c r="A16" s="20" t="s">
        <v>202</v>
      </c>
      <c r="B16" s="21" t="s">
        <v>203</v>
      </c>
      <c r="C16" s="22">
        <f>IF(B13&gt;650999,IF(B13&lt;1900000,B13-650000,0),0)</f>
        <v>0</v>
      </c>
    </row>
    <row r="17" spans="1:3" x14ac:dyDescent="0.2">
      <c r="A17" s="20" t="s">
        <v>204</v>
      </c>
      <c r="B17" s="21" t="s">
        <v>143</v>
      </c>
      <c r="C17" s="22">
        <f>IF(B13&gt;1899999,IF(B13&lt;3600000,B22*2.8-80000,0),0)</f>
        <v>0</v>
      </c>
    </row>
    <row r="18" spans="1:3" x14ac:dyDescent="0.2">
      <c r="A18" s="20" t="s">
        <v>19</v>
      </c>
      <c r="B18" s="21" t="s">
        <v>144</v>
      </c>
      <c r="C18" s="22">
        <f>IF(B13&gt;3599999,IF(B13&lt;6600000,B22*3.2-440000,0),0)</f>
        <v>0</v>
      </c>
    </row>
    <row r="19" spans="1:3" x14ac:dyDescent="0.2">
      <c r="A19" s="20" t="s">
        <v>147</v>
      </c>
      <c r="B19" s="21" t="s">
        <v>145</v>
      </c>
      <c r="C19" s="22">
        <f>IF(B13&gt;6599999,IF(B13&lt;8500000,ROUNDDOWN(B13*0.9,0)-1100000,0),0)</f>
        <v>0</v>
      </c>
    </row>
    <row r="20" spans="1:3" x14ac:dyDescent="0.2">
      <c r="A20" s="129" t="s">
        <v>148</v>
      </c>
      <c r="B20" s="21" t="s">
        <v>146</v>
      </c>
      <c r="C20" s="22">
        <f>IF(B13&gt;8499999,B13-1950000,0)</f>
        <v>0</v>
      </c>
    </row>
    <row r="21" spans="1:3" ht="13.5" thickBot="1" x14ac:dyDescent="0.25">
      <c r="A21" s="20"/>
      <c r="B21" s="21"/>
      <c r="C21" s="27"/>
    </row>
    <row r="22" spans="1:3" ht="13.5" thickBot="1" x14ac:dyDescent="0.25">
      <c r="A22" s="23" t="s">
        <v>20</v>
      </c>
      <c r="B22" s="26">
        <f>ROUNDDOWN(B13/4,-3)</f>
        <v>0</v>
      </c>
      <c r="C22" s="25">
        <f>SUM(C15:C21)</f>
        <v>0</v>
      </c>
    </row>
    <row r="23" spans="1:3" ht="13.5" thickBot="1" x14ac:dyDescent="0.25"/>
    <row r="24" spans="1:3" ht="13.5" thickBot="1" x14ac:dyDescent="0.25">
      <c r="A24" s="28" t="s">
        <v>4</v>
      </c>
      <c r="B24" s="25">
        <f>計算シート!G13</f>
        <v>0</v>
      </c>
      <c r="C24" s="18" t="str">
        <f>C2</f>
        <v>R08年分～</v>
      </c>
    </row>
    <row r="25" spans="1:3" x14ac:dyDescent="0.2">
      <c r="A25" s="19" t="s">
        <v>15</v>
      </c>
      <c r="B25" s="24" t="s">
        <v>16</v>
      </c>
      <c r="C25" s="19" t="s">
        <v>17</v>
      </c>
    </row>
    <row r="26" spans="1:3" x14ac:dyDescent="0.2">
      <c r="A26" s="20" t="s">
        <v>201</v>
      </c>
      <c r="B26" s="21" t="s">
        <v>18</v>
      </c>
      <c r="C26" s="22">
        <v>0</v>
      </c>
    </row>
    <row r="27" spans="1:3" x14ac:dyDescent="0.2">
      <c r="A27" s="20" t="s">
        <v>202</v>
      </c>
      <c r="B27" s="21" t="s">
        <v>203</v>
      </c>
      <c r="C27" s="22">
        <f>IF(B24&gt;650999,IF(B24&lt;1900000,B24-650000,0),0)</f>
        <v>0</v>
      </c>
    </row>
    <row r="28" spans="1:3" x14ac:dyDescent="0.2">
      <c r="A28" s="20" t="s">
        <v>204</v>
      </c>
      <c r="B28" s="21" t="s">
        <v>143</v>
      </c>
      <c r="C28" s="22">
        <f>IF(B24&gt;1899999,IF(B24&lt;3600000,B33*2.8-80000,0),0)</f>
        <v>0</v>
      </c>
    </row>
    <row r="29" spans="1:3" x14ac:dyDescent="0.2">
      <c r="A29" s="20" t="s">
        <v>19</v>
      </c>
      <c r="B29" s="21" t="s">
        <v>144</v>
      </c>
      <c r="C29" s="22">
        <f>IF(B24&gt;3599999,IF(B24&lt;6600000,B33*3.2-440000,0),0)</f>
        <v>0</v>
      </c>
    </row>
    <row r="30" spans="1:3" x14ac:dyDescent="0.2">
      <c r="A30" s="20" t="s">
        <v>147</v>
      </c>
      <c r="B30" s="21" t="s">
        <v>145</v>
      </c>
      <c r="C30" s="22">
        <f>IF(B24&gt;6599999,IF(B24&lt;8500000,ROUNDDOWN(B24*0.9,0)-1100000,0),0)</f>
        <v>0</v>
      </c>
    </row>
    <row r="31" spans="1:3" x14ac:dyDescent="0.2">
      <c r="A31" s="129" t="s">
        <v>148</v>
      </c>
      <c r="B31" s="21" t="s">
        <v>146</v>
      </c>
      <c r="C31" s="22">
        <f>IF(B24&gt;8499999,B24-1950000,0)</f>
        <v>0</v>
      </c>
    </row>
    <row r="32" spans="1:3" ht="13.5" thickBot="1" x14ac:dyDescent="0.25">
      <c r="A32" s="20"/>
      <c r="B32" s="21"/>
      <c r="C32" s="27"/>
    </row>
    <row r="33" spans="1:3" ht="13.5" thickBot="1" x14ac:dyDescent="0.25">
      <c r="A33" s="23" t="s">
        <v>20</v>
      </c>
      <c r="B33" s="26">
        <f>ROUNDDOWN(B24/4,-3)</f>
        <v>0</v>
      </c>
      <c r="C33" s="25">
        <f>SUM(C26:C32)</f>
        <v>0</v>
      </c>
    </row>
    <row r="34" spans="1:3" ht="13.5" thickBot="1" x14ac:dyDescent="0.25"/>
    <row r="35" spans="1:3" ht="13.5" thickBot="1" x14ac:dyDescent="0.25">
      <c r="A35" s="28" t="s">
        <v>5</v>
      </c>
      <c r="B35" s="25">
        <f>計算シート!G14</f>
        <v>0</v>
      </c>
      <c r="C35" s="18" t="str">
        <f>C2</f>
        <v>R08年分～</v>
      </c>
    </row>
    <row r="36" spans="1:3" x14ac:dyDescent="0.2">
      <c r="A36" s="19" t="s">
        <v>15</v>
      </c>
      <c r="B36" s="24" t="s">
        <v>16</v>
      </c>
      <c r="C36" s="19" t="s">
        <v>17</v>
      </c>
    </row>
    <row r="37" spans="1:3" x14ac:dyDescent="0.2">
      <c r="A37" s="20" t="s">
        <v>201</v>
      </c>
      <c r="B37" s="21" t="s">
        <v>18</v>
      </c>
      <c r="C37" s="22">
        <v>0</v>
      </c>
    </row>
    <row r="38" spans="1:3" x14ac:dyDescent="0.2">
      <c r="A38" s="20" t="s">
        <v>202</v>
      </c>
      <c r="B38" s="21" t="s">
        <v>203</v>
      </c>
      <c r="C38" s="22">
        <f>IF(B35&gt;650999,IF(B35&lt;1900000,B35-650000,0),0)</f>
        <v>0</v>
      </c>
    </row>
    <row r="39" spans="1:3" x14ac:dyDescent="0.2">
      <c r="A39" s="20" t="s">
        <v>204</v>
      </c>
      <c r="B39" s="21" t="s">
        <v>143</v>
      </c>
      <c r="C39" s="22">
        <f>IF(B35&gt;1899999,IF(B35&lt;3600000,B44*2.8-80000,0),0)</f>
        <v>0</v>
      </c>
    </row>
    <row r="40" spans="1:3" x14ac:dyDescent="0.2">
      <c r="A40" s="20" t="s">
        <v>19</v>
      </c>
      <c r="B40" s="21" t="s">
        <v>144</v>
      </c>
      <c r="C40" s="22">
        <f>IF(B35&gt;3599999,IF(B35&lt;6600000,B44*3.2-440000,0),0)</f>
        <v>0</v>
      </c>
    </row>
    <row r="41" spans="1:3" x14ac:dyDescent="0.2">
      <c r="A41" s="20" t="s">
        <v>147</v>
      </c>
      <c r="B41" s="21" t="s">
        <v>145</v>
      </c>
      <c r="C41" s="22">
        <f>IF(B35&gt;6599999,IF(B35&lt;8500000,ROUNDDOWN(B35*0.9,0)-1100000,0),0)</f>
        <v>0</v>
      </c>
    </row>
    <row r="42" spans="1:3" x14ac:dyDescent="0.2">
      <c r="A42" s="129" t="s">
        <v>148</v>
      </c>
      <c r="B42" s="21" t="s">
        <v>146</v>
      </c>
      <c r="C42" s="22">
        <f>IF(B35&gt;8499999,B35-1950000,0)</f>
        <v>0</v>
      </c>
    </row>
    <row r="43" spans="1:3" ht="13.5" thickBot="1" x14ac:dyDescent="0.25">
      <c r="A43" s="20"/>
      <c r="B43" s="21"/>
      <c r="C43" s="27"/>
    </row>
    <row r="44" spans="1:3" ht="13.5" thickBot="1" x14ac:dyDescent="0.25">
      <c r="A44" s="23" t="s">
        <v>20</v>
      </c>
      <c r="B44" s="26">
        <f>ROUNDDOWN(B35/4,-3)</f>
        <v>0</v>
      </c>
      <c r="C44" s="25">
        <f>SUM(C37:C43)</f>
        <v>0</v>
      </c>
    </row>
    <row r="45" spans="1:3" ht="13.5" thickBot="1" x14ac:dyDescent="0.25"/>
    <row r="46" spans="1:3" ht="13.5" thickBot="1" x14ac:dyDescent="0.25">
      <c r="A46" s="28" t="s">
        <v>10</v>
      </c>
      <c r="B46" s="25">
        <f>計算シート!G15</f>
        <v>0</v>
      </c>
      <c r="C46" s="18" t="str">
        <f>C2</f>
        <v>R08年分～</v>
      </c>
    </row>
    <row r="47" spans="1:3" x14ac:dyDescent="0.2">
      <c r="A47" s="19" t="s">
        <v>15</v>
      </c>
      <c r="B47" s="24" t="s">
        <v>16</v>
      </c>
      <c r="C47" s="19" t="s">
        <v>17</v>
      </c>
    </row>
    <row r="48" spans="1:3" x14ac:dyDescent="0.2">
      <c r="A48" s="20" t="s">
        <v>201</v>
      </c>
      <c r="B48" s="21" t="s">
        <v>18</v>
      </c>
      <c r="C48" s="22">
        <v>0</v>
      </c>
    </row>
    <row r="49" spans="1:3" x14ac:dyDescent="0.2">
      <c r="A49" s="20" t="s">
        <v>202</v>
      </c>
      <c r="B49" s="21" t="s">
        <v>203</v>
      </c>
      <c r="C49" s="22">
        <f>IF(B46&gt;650999,IF(B46&lt;1900000,B46-650000,0),0)</f>
        <v>0</v>
      </c>
    </row>
    <row r="50" spans="1:3" x14ac:dyDescent="0.2">
      <c r="A50" s="20" t="s">
        <v>204</v>
      </c>
      <c r="B50" s="21" t="s">
        <v>143</v>
      </c>
      <c r="C50" s="22">
        <f>IF(B46&gt;1899999,IF(B46&lt;3600000,B55*2.8-80000,0),0)</f>
        <v>0</v>
      </c>
    </row>
    <row r="51" spans="1:3" x14ac:dyDescent="0.2">
      <c r="A51" s="20" t="s">
        <v>19</v>
      </c>
      <c r="B51" s="21" t="s">
        <v>144</v>
      </c>
      <c r="C51" s="22">
        <f>IF(B46&gt;3599999,IF(B46&lt;6600000,B55*3.2-440000,0),0)</f>
        <v>0</v>
      </c>
    </row>
    <row r="52" spans="1:3" x14ac:dyDescent="0.2">
      <c r="A52" s="20" t="s">
        <v>147</v>
      </c>
      <c r="B52" s="21" t="s">
        <v>145</v>
      </c>
      <c r="C52" s="22">
        <f>IF(B46&gt;6599999,IF(B46&lt;8500000,ROUNDDOWN(B46*0.9,0)-1100000,0),0)</f>
        <v>0</v>
      </c>
    </row>
    <row r="53" spans="1:3" x14ac:dyDescent="0.2">
      <c r="A53" s="129" t="s">
        <v>148</v>
      </c>
      <c r="B53" s="21" t="s">
        <v>146</v>
      </c>
      <c r="C53" s="22">
        <f>IF(B46&gt;8499999,B46-1950000,0)</f>
        <v>0</v>
      </c>
    </row>
    <row r="54" spans="1:3" ht="13.5" thickBot="1" x14ac:dyDescent="0.25">
      <c r="A54" s="20"/>
      <c r="B54" s="21"/>
      <c r="C54" s="27"/>
    </row>
    <row r="55" spans="1:3" ht="13.5" thickBot="1" x14ac:dyDescent="0.25">
      <c r="A55" s="23" t="s">
        <v>20</v>
      </c>
      <c r="B55" s="26">
        <f>ROUNDDOWN(B46/4,-3)</f>
        <v>0</v>
      </c>
      <c r="C55" s="25">
        <f>SUM(C48:C54)</f>
        <v>0</v>
      </c>
    </row>
    <row r="56" spans="1:3" ht="13.5" thickBot="1" x14ac:dyDescent="0.25"/>
    <row r="57" spans="1:3" ht="13.5" thickBot="1" x14ac:dyDescent="0.25">
      <c r="A57" s="28" t="s">
        <v>11</v>
      </c>
      <c r="B57" s="25">
        <f>計算シート!G16</f>
        <v>0</v>
      </c>
      <c r="C57" s="18" t="str">
        <f>C2</f>
        <v>R08年分～</v>
      </c>
    </row>
    <row r="58" spans="1:3" x14ac:dyDescent="0.2">
      <c r="A58" s="19" t="s">
        <v>15</v>
      </c>
      <c r="B58" s="24" t="s">
        <v>16</v>
      </c>
      <c r="C58" s="19" t="s">
        <v>17</v>
      </c>
    </row>
    <row r="59" spans="1:3" x14ac:dyDescent="0.2">
      <c r="A59" s="20" t="s">
        <v>201</v>
      </c>
      <c r="B59" s="21" t="s">
        <v>18</v>
      </c>
      <c r="C59" s="22">
        <v>0</v>
      </c>
    </row>
    <row r="60" spans="1:3" x14ac:dyDescent="0.2">
      <c r="A60" s="20" t="s">
        <v>202</v>
      </c>
      <c r="B60" s="21" t="s">
        <v>203</v>
      </c>
      <c r="C60" s="22">
        <f>IF(B57&gt;650999,IF(B57&lt;1900000,B57-650000,0),0)</f>
        <v>0</v>
      </c>
    </row>
    <row r="61" spans="1:3" x14ac:dyDescent="0.2">
      <c r="A61" s="20" t="s">
        <v>204</v>
      </c>
      <c r="B61" s="21" t="s">
        <v>143</v>
      </c>
      <c r="C61" s="22">
        <f>IF(B57&gt;1899999,IF(B57&lt;3600000,B66*2.8-80000,0),0)</f>
        <v>0</v>
      </c>
    </row>
    <row r="62" spans="1:3" x14ac:dyDescent="0.2">
      <c r="A62" s="20" t="s">
        <v>19</v>
      </c>
      <c r="B62" s="21" t="s">
        <v>144</v>
      </c>
      <c r="C62" s="22">
        <f>IF(B57&gt;3599999,IF(B57&lt;6600000,B66*3.2-440000,0),0)</f>
        <v>0</v>
      </c>
    </row>
    <row r="63" spans="1:3" x14ac:dyDescent="0.2">
      <c r="A63" s="20" t="s">
        <v>147</v>
      </c>
      <c r="B63" s="21" t="s">
        <v>145</v>
      </c>
      <c r="C63" s="22">
        <f>IF(B57&gt;6599999,IF(B57&lt;8500000,ROUNDDOWN(B57*0.9,0)-1100000,0),0)</f>
        <v>0</v>
      </c>
    </row>
    <row r="64" spans="1:3" x14ac:dyDescent="0.2">
      <c r="A64" s="129" t="s">
        <v>148</v>
      </c>
      <c r="B64" s="21" t="s">
        <v>146</v>
      </c>
      <c r="C64" s="22">
        <f>IF(B57&gt;8499999,B57-1950000,0)</f>
        <v>0</v>
      </c>
    </row>
    <row r="65" spans="1:3" ht="13.5" thickBot="1" x14ac:dyDescent="0.25">
      <c r="A65" s="20"/>
      <c r="B65" s="21"/>
      <c r="C65" s="27"/>
    </row>
    <row r="66" spans="1:3" ht="13.5" thickBot="1" x14ac:dyDescent="0.25">
      <c r="A66" s="23" t="s">
        <v>20</v>
      </c>
      <c r="B66" s="26">
        <f>ROUNDDOWN(B57/4,-3)</f>
        <v>0</v>
      </c>
      <c r="C66" s="25">
        <f>SUM(C59:C65)</f>
        <v>0</v>
      </c>
    </row>
    <row r="67" spans="1:3" ht="13.5" thickBot="1" x14ac:dyDescent="0.25"/>
    <row r="68" spans="1:3" ht="13.5" thickBot="1" x14ac:dyDescent="0.25">
      <c r="A68" s="28" t="s">
        <v>21</v>
      </c>
      <c r="B68" s="25">
        <f>計算シート!G17</f>
        <v>0</v>
      </c>
      <c r="C68" s="18" t="str">
        <f>C2</f>
        <v>R08年分～</v>
      </c>
    </row>
    <row r="69" spans="1:3" x14ac:dyDescent="0.2">
      <c r="A69" s="19" t="s">
        <v>15</v>
      </c>
      <c r="B69" s="24" t="s">
        <v>16</v>
      </c>
      <c r="C69" s="19" t="s">
        <v>17</v>
      </c>
    </row>
    <row r="70" spans="1:3" x14ac:dyDescent="0.2">
      <c r="A70" s="20" t="s">
        <v>201</v>
      </c>
      <c r="B70" s="21" t="s">
        <v>18</v>
      </c>
      <c r="C70" s="22">
        <v>0</v>
      </c>
    </row>
    <row r="71" spans="1:3" x14ac:dyDescent="0.2">
      <c r="A71" s="20" t="s">
        <v>202</v>
      </c>
      <c r="B71" s="21" t="s">
        <v>203</v>
      </c>
      <c r="C71" s="22">
        <f>IF(B68&gt;650999,IF(B68&lt;1900000,B68-650000,0),0)</f>
        <v>0</v>
      </c>
    </row>
    <row r="72" spans="1:3" x14ac:dyDescent="0.2">
      <c r="A72" s="20" t="s">
        <v>204</v>
      </c>
      <c r="B72" s="21" t="s">
        <v>143</v>
      </c>
      <c r="C72" s="22">
        <f>IF(B68&gt;1899999,IF(B68&lt;3600000,B77*2.8-80000,0),0)</f>
        <v>0</v>
      </c>
    </row>
    <row r="73" spans="1:3" x14ac:dyDescent="0.2">
      <c r="A73" s="20" t="s">
        <v>19</v>
      </c>
      <c r="B73" s="21" t="s">
        <v>144</v>
      </c>
      <c r="C73" s="22">
        <f>IF(B68&gt;3599999,IF(B68&lt;6600000,B77*3.2-440000,0),0)</f>
        <v>0</v>
      </c>
    </row>
    <row r="74" spans="1:3" x14ac:dyDescent="0.2">
      <c r="A74" s="20" t="s">
        <v>147</v>
      </c>
      <c r="B74" s="21" t="s">
        <v>145</v>
      </c>
      <c r="C74" s="22">
        <f>IF(B68&gt;6599999,IF(B68&lt;8500000,ROUNDDOWN(B68*0.9,0)-1100000,0),0)</f>
        <v>0</v>
      </c>
    </row>
    <row r="75" spans="1:3" x14ac:dyDescent="0.2">
      <c r="A75" s="129" t="s">
        <v>148</v>
      </c>
      <c r="B75" s="21" t="s">
        <v>146</v>
      </c>
      <c r="C75" s="22">
        <f>IF(B68&gt;8499999,B68-1950000,0)</f>
        <v>0</v>
      </c>
    </row>
    <row r="76" spans="1:3" ht="13.5" thickBot="1" x14ac:dyDescent="0.25">
      <c r="A76" s="20"/>
      <c r="B76" s="21"/>
      <c r="C76" s="27"/>
    </row>
    <row r="77" spans="1:3" ht="13.5" thickBot="1" x14ac:dyDescent="0.25">
      <c r="A77" s="23" t="s">
        <v>20</v>
      </c>
      <c r="B77" s="26">
        <f>ROUNDDOWN(B68/4,-3)</f>
        <v>0</v>
      </c>
      <c r="C77" s="25">
        <f>SUM(C70:C76)</f>
        <v>0</v>
      </c>
    </row>
    <row r="78" spans="1:3" ht="13.5" thickBot="1" x14ac:dyDescent="0.25"/>
    <row r="79" spans="1:3" ht="13.5" thickBot="1" x14ac:dyDescent="0.25">
      <c r="A79" s="28" t="s">
        <v>22</v>
      </c>
      <c r="B79" s="25">
        <f>計算シート!G18</f>
        <v>0</v>
      </c>
      <c r="C79" s="18" t="str">
        <f>C2</f>
        <v>R08年分～</v>
      </c>
    </row>
    <row r="80" spans="1:3" x14ac:dyDescent="0.2">
      <c r="A80" s="19" t="s">
        <v>15</v>
      </c>
      <c r="B80" s="24" t="s">
        <v>16</v>
      </c>
      <c r="C80" s="19" t="s">
        <v>17</v>
      </c>
    </row>
    <row r="81" spans="1:3" x14ac:dyDescent="0.2">
      <c r="A81" s="20" t="s">
        <v>201</v>
      </c>
      <c r="B81" s="21" t="s">
        <v>18</v>
      </c>
      <c r="C81" s="22">
        <v>0</v>
      </c>
    </row>
    <row r="82" spans="1:3" x14ac:dyDescent="0.2">
      <c r="A82" s="20" t="s">
        <v>202</v>
      </c>
      <c r="B82" s="21" t="s">
        <v>203</v>
      </c>
      <c r="C82" s="22">
        <f>IF(B79&gt;650999,IF(B79&lt;1900000,B79-650000,0),0)</f>
        <v>0</v>
      </c>
    </row>
    <row r="83" spans="1:3" x14ac:dyDescent="0.2">
      <c r="A83" s="20" t="s">
        <v>204</v>
      </c>
      <c r="B83" s="21" t="s">
        <v>143</v>
      </c>
      <c r="C83" s="22">
        <f>IF(B79&gt;1899999,IF(B79&lt;3600000,B88*2.8-80000,0),0)</f>
        <v>0</v>
      </c>
    </row>
    <row r="84" spans="1:3" x14ac:dyDescent="0.2">
      <c r="A84" s="20" t="s">
        <v>19</v>
      </c>
      <c r="B84" s="21" t="s">
        <v>144</v>
      </c>
      <c r="C84" s="22">
        <f>IF(B79&gt;3599999,IF(B79&lt;6600000,B88*3.2-440000,0),0)</f>
        <v>0</v>
      </c>
    </row>
    <row r="85" spans="1:3" x14ac:dyDescent="0.2">
      <c r="A85" s="20" t="s">
        <v>147</v>
      </c>
      <c r="B85" s="21" t="s">
        <v>145</v>
      </c>
      <c r="C85" s="22">
        <f>IF(B79&gt;6599999,IF(B79&lt;8500000,ROUNDDOWN(B79*0.9,0)-1100000,0),0)</f>
        <v>0</v>
      </c>
    </row>
    <row r="86" spans="1:3" x14ac:dyDescent="0.2">
      <c r="A86" s="129" t="s">
        <v>148</v>
      </c>
      <c r="B86" s="21" t="s">
        <v>146</v>
      </c>
      <c r="C86" s="22">
        <f>IF(B79&gt;8499999,B79-1950000,0)</f>
        <v>0</v>
      </c>
    </row>
    <row r="87" spans="1:3" ht="13.5" thickBot="1" x14ac:dyDescent="0.25">
      <c r="A87" s="20"/>
      <c r="B87" s="21"/>
      <c r="C87" s="27"/>
    </row>
    <row r="88" spans="1:3" ht="13.5" thickBot="1" x14ac:dyDescent="0.25">
      <c r="A88" s="23" t="s">
        <v>20</v>
      </c>
      <c r="B88" s="26">
        <f>ROUNDDOWN(B79/4,-3)</f>
        <v>0</v>
      </c>
      <c r="C88" s="25">
        <f>SUM(C81:C87)</f>
        <v>0</v>
      </c>
    </row>
    <row r="89" spans="1:3" ht="13.5" thickBot="1" x14ac:dyDescent="0.25"/>
    <row r="90" spans="1:3" ht="13.5" thickBot="1" x14ac:dyDescent="0.25">
      <c r="A90" s="28" t="s">
        <v>23</v>
      </c>
      <c r="B90" s="25">
        <f>計算シート!G19</f>
        <v>0</v>
      </c>
      <c r="C90" s="18" t="str">
        <f>C2</f>
        <v>R08年分～</v>
      </c>
    </row>
    <row r="91" spans="1:3" x14ac:dyDescent="0.2">
      <c r="A91" s="19" t="s">
        <v>15</v>
      </c>
      <c r="B91" s="24" t="s">
        <v>16</v>
      </c>
      <c r="C91" s="19" t="s">
        <v>17</v>
      </c>
    </row>
    <row r="92" spans="1:3" x14ac:dyDescent="0.2">
      <c r="A92" s="20" t="s">
        <v>201</v>
      </c>
      <c r="B92" s="21" t="s">
        <v>18</v>
      </c>
      <c r="C92" s="22">
        <v>0</v>
      </c>
    </row>
    <row r="93" spans="1:3" x14ac:dyDescent="0.2">
      <c r="A93" s="20" t="s">
        <v>202</v>
      </c>
      <c r="B93" s="21" t="s">
        <v>203</v>
      </c>
      <c r="C93" s="22">
        <f>IF(B90&gt;650999,IF(B90&lt;1900000,B90-650000,0),0)</f>
        <v>0</v>
      </c>
    </row>
    <row r="94" spans="1:3" x14ac:dyDescent="0.2">
      <c r="A94" s="20" t="s">
        <v>204</v>
      </c>
      <c r="B94" s="21" t="s">
        <v>143</v>
      </c>
      <c r="C94" s="22">
        <f>IF(B90&gt;1899999,IF(B90&lt;3600000,B99*2.8-80000,0),0)</f>
        <v>0</v>
      </c>
    </row>
    <row r="95" spans="1:3" x14ac:dyDescent="0.2">
      <c r="A95" s="20" t="s">
        <v>19</v>
      </c>
      <c r="B95" s="21" t="s">
        <v>144</v>
      </c>
      <c r="C95" s="22">
        <f>IF(B90&gt;3599999,IF(B90&lt;6600000,B99*3.2-440000,0),0)</f>
        <v>0</v>
      </c>
    </row>
    <row r="96" spans="1:3" x14ac:dyDescent="0.2">
      <c r="A96" s="20" t="s">
        <v>147</v>
      </c>
      <c r="B96" s="21" t="s">
        <v>145</v>
      </c>
      <c r="C96" s="22">
        <f>IF(B90&gt;6599999,IF(B90&lt;8500000,ROUNDDOWN(B90*0.9,0)-1100000,0),0)</f>
        <v>0</v>
      </c>
    </row>
    <row r="97" spans="1:3" x14ac:dyDescent="0.2">
      <c r="A97" s="129" t="s">
        <v>148</v>
      </c>
      <c r="B97" s="21" t="s">
        <v>146</v>
      </c>
      <c r="C97" s="22">
        <f>IF(B90&gt;8499999,B90-1950000,0)</f>
        <v>0</v>
      </c>
    </row>
    <row r="98" spans="1:3" ht="13.5" thickBot="1" x14ac:dyDescent="0.25">
      <c r="A98" s="20"/>
      <c r="B98" s="21"/>
      <c r="C98" s="27"/>
    </row>
    <row r="99" spans="1:3" ht="13.5" thickBot="1" x14ac:dyDescent="0.25">
      <c r="A99" s="23" t="s">
        <v>20</v>
      </c>
      <c r="B99" s="26">
        <f>ROUNDDOWN(B90/4,-3)</f>
        <v>0</v>
      </c>
      <c r="C99" s="25">
        <f>SUM(C92:C98)</f>
        <v>0</v>
      </c>
    </row>
    <row r="100" spans="1:3" ht="13.5" thickBot="1" x14ac:dyDescent="0.25"/>
    <row r="101" spans="1:3" ht="13.5" thickBot="1" x14ac:dyDescent="0.25">
      <c r="A101" s="28" t="s">
        <v>24</v>
      </c>
      <c r="B101" s="25">
        <f>計算シート!G20</f>
        <v>0</v>
      </c>
      <c r="C101" s="18" t="str">
        <f>C2</f>
        <v>R08年分～</v>
      </c>
    </row>
    <row r="102" spans="1:3" x14ac:dyDescent="0.2">
      <c r="A102" s="19" t="s">
        <v>15</v>
      </c>
      <c r="B102" s="24" t="s">
        <v>16</v>
      </c>
      <c r="C102" s="19" t="s">
        <v>17</v>
      </c>
    </row>
    <row r="103" spans="1:3" x14ac:dyDescent="0.2">
      <c r="A103" s="20" t="s">
        <v>201</v>
      </c>
      <c r="B103" s="21" t="s">
        <v>18</v>
      </c>
      <c r="C103" s="22">
        <v>0</v>
      </c>
    </row>
    <row r="104" spans="1:3" x14ac:dyDescent="0.2">
      <c r="A104" s="20" t="s">
        <v>202</v>
      </c>
      <c r="B104" s="21" t="s">
        <v>203</v>
      </c>
      <c r="C104" s="22">
        <f>IF(B101&gt;650999,IF(B101&lt;1900000,B101-650000,0),0)</f>
        <v>0</v>
      </c>
    </row>
    <row r="105" spans="1:3" x14ac:dyDescent="0.2">
      <c r="A105" s="20" t="s">
        <v>204</v>
      </c>
      <c r="B105" s="21" t="s">
        <v>143</v>
      </c>
      <c r="C105" s="22">
        <f>IF(B101&gt;1899999,IF(B101&lt;3600000,B110*2.8-80000,0),0)</f>
        <v>0</v>
      </c>
    </row>
    <row r="106" spans="1:3" x14ac:dyDescent="0.2">
      <c r="A106" s="20" t="s">
        <v>19</v>
      </c>
      <c r="B106" s="21" t="s">
        <v>144</v>
      </c>
      <c r="C106" s="22">
        <f>IF(B101&gt;3599999,IF(B101&lt;6600000,B110*3.2-440000,0),0)</f>
        <v>0</v>
      </c>
    </row>
    <row r="107" spans="1:3" x14ac:dyDescent="0.2">
      <c r="A107" s="20" t="s">
        <v>147</v>
      </c>
      <c r="B107" s="21" t="s">
        <v>145</v>
      </c>
      <c r="C107" s="22">
        <f>IF(B101&gt;6599999,IF(B101&lt;8500000,ROUNDDOWN(B101*0.9,0)-1100000,0),0)</f>
        <v>0</v>
      </c>
    </row>
    <row r="108" spans="1:3" x14ac:dyDescent="0.2">
      <c r="A108" s="129" t="s">
        <v>148</v>
      </c>
      <c r="B108" s="21" t="s">
        <v>146</v>
      </c>
      <c r="C108" s="22">
        <f>IF(B101&gt;8499999,B101-1950000,0)</f>
        <v>0</v>
      </c>
    </row>
    <row r="109" spans="1:3" ht="13.5" thickBot="1" x14ac:dyDescent="0.25">
      <c r="A109" s="20"/>
      <c r="B109" s="21"/>
      <c r="C109" s="27"/>
    </row>
    <row r="110" spans="1:3" ht="13.5" thickBot="1" x14ac:dyDescent="0.25">
      <c r="A110" s="23" t="s">
        <v>20</v>
      </c>
      <c r="B110" s="26">
        <f>ROUNDDOWN(B101/4,-3)</f>
        <v>0</v>
      </c>
      <c r="C110" s="25">
        <f>SUM(C103:C109)</f>
        <v>0</v>
      </c>
    </row>
  </sheetData>
  <sheetProtection algorithmName="SHA-512" hashValue="wUgue48CIA+C0VmxH6DdcIPwSpm8eWxzVdUhaYLJT3eXX7UOOIM5flFgNKvgMrbLwYdCWQZ0WIeMONRUEoojtA==" saltValue="N0+4w2NChnF7TxUuTLZxeQ==" spinCount="100000" sheet="1" selectLockedCells="1"/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26"/>
  <sheetViews>
    <sheetView zoomScale="85" zoomScaleNormal="85" workbookViewId="0">
      <selection activeCell="T13" sqref="T13:V13"/>
    </sheetView>
  </sheetViews>
  <sheetFormatPr defaultRowHeight="13" x14ac:dyDescent="0.2"/>
  <sheetData>
    <row r="1" spans="1:1" ht="21" x14ac:dyDescent="0.3">
      <c r="A1" s="77" t="s">
        <v>85</v>
      </c>
    </row>
    <row r="26" spans="1:1" ht="21" x14ac:dyDescent="0.3">
      <c r="A26" s="77" t="s">
        <v>86</v>
      </c>
    </row>
  </sheetData>
  <sheetProtection password="CBC5" sheet="1" objects="1" scenarios="1" selectLockedCells="1"/>
  <phoneticPr fontId="2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"/>
  <sheetViews>
    <sheetView zoomScale="85" zoomScaleNormal="85" workbookViewId="0">
      <selection activeCell="K42" sqref="K42"/>
    </sheetView>
  </sheetViews>
  <sheetFormatPr defaultRowHeight="13" x14ac:dyDescent="0.2"/>
  <sheetData>
    <row r="1" spans="1:1" ht="21" x14ac:dyDescent="0.3">
      <c r="A1" s="77" t="s">
        <v>196</v>
      </c>
    </row>
  </sheetData>
  <sheetProtection selectLockedCells="1"/>
  <phoneticPr fontId="2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350"/>
  <sheetViews>
    <sheetView workbookViewId="0">
      <selection activeCell="E1" sqref="E1"/>
    </sheetView>
  </sheetViews>
  <sheetFormatPr defaultRowHeight="13" x14ac:dyDescent="0.2"/>
  <cols>
    <col min="1" max="1" width="13" bestFit="1" customWidth="1"/>
    <col min="2" max="2" width="3.36328125" style="50" bestFit="1" customWidth="1"/>
    <col min="4" max="4" width="3.36328125" bestFit="1" customWidth="1"/>
    <col min="5" max="5" width="19.26953125" bestFit="1" customWidth="1"/>
    <col min="6" max="6" width="4.26953125" customWidth="1"/>
    <col min="8" max="11" width="11.26953125" customWidth="1"/>
    <col min="12" max="12" width="14.7265625" bestFit="1" customWidth="1"/>
  </cols>
  <sheetData>
    <row r="1" spans="1:12" ht="13.5" thickBot="1" x14ac:dyDescent="0.25">
      <c r="A1" s="70" t="str">
        <f>計算シート!B11</f>
        <v/>
      </c>
      <c r="B1" s="59"/>
      <c r="C1" s="60"/>
      <c r="D1" s="60"/>
      <c r="E1" s="89" t="str">
        <f>IF(計算シート!C7&lt;&gt;"国保","擬主","")</f>
        <v>擬主</v>
      </c>
      <c r="F1" s="61"/>
    </row>
    <row r="2" spans="1:12" x14ac:dyDescent="0.2">
      <c r="A2" s="62" t="s">
        <v>14</v>
      </c>
      <c r="B2" s="54"/>
      <c r="C2" s="54" t="s">
        <v>69</v>
      </c>
      <c r="D2" s="55"/>
      <c r="E2" s="54" t="s">
        <v>71</v>
      </c>
      <c r="F2" s="63"/>
      <c r="H2" s="51"/>
      <c r="I2" s="71" t="s">
        <v>72</v>
      </c>
      <c r="J2" s="71" t="s">
        <v>75</v>
      </c>
      <c r="K2" s="71" t="s">
        <v>76</v>
      </c>
      <c r="L2" s="173" t="s">
        <v>207</v>
      </c>
    </row>
    <row r="3" spans="1:12" x14ac:dyDescent="0.2">
      <c r="A3" s="52">
        <f>IF(A1="",0,計算シート!AB11)</f>
        <v>0</v>
      </c>
      <c r="B3" s="54" t="s">
        <v>68</v>
      </c>
      <c r="C3" s="52">
        <v>430000</v>
      </c>
      <c r="D3" s="54" t="s">
        <v>70</v>
      </c>
      <c r="E3" s="52">
        <f>IF((A3-C3)&lt;0,0,A3-C3)</f>
        <v>0</v>
      </c>
      <c r="F3" s="63"/>
      <c r="H3" s="71" t="s">
        <v>2</v>
      </c>
      <c r="I3" s="53">
        <f>IF($E$1="擬主",0,E11)</f>
        <v>0</v>
      </c>
      <c r="J3" s="53">
        <f>IF($E$1="擬主",0,E18)</f>
        <v>0</v>
      </c>
      <c r="K3" s="53">
        <f>IF($E$1="擬主",0,E25)</f>
        <v>0</v>
      </c>
      <c r="L3" s="53">
        <f>IF($E$1="擬主",0,E34)</f>
        <v>0</v>
      </c>
    </row>
    <row r="4" spans="1:12" x14ac:dyDescent="0.2">
      <c r="A4" s="64"/>
      <c r="B4" s="54"/>
      <c r="C4" s="55"/>
      <c r="D4" s="55"/>
      <c r="E4" s="55"/>
      <c r="F4" s="63"/>
      <c r="H4" s="71" t="s">
        <v>3</v>
      </c>
      <c r="I4" s="53">
        <f>E46</f>
        <v>0</v>
      </c>
      <c r="J4" s="53">
        <f>E53</f>
        <v>0</v>
      </c>
      <c r="K4" s="53">
        <f>E60</f>
        <v>0</v>
      </c>
      <c r="L4" s="53">
        <f>E69</f>
        <v>0</v>
      </c>
    </row>
    <row r="5" spans="1:12" x14ac:dyDescent="0.2">
      <c r="A5" s="388" t="s">
        <v>72</v>
      </c>
      <c r="B5" s="388"/>
      <c r="C5" s="388"/>
      <c r="D5" s="388"/>
      <c r="E5" s="388"/>
      <c r="F5" s="63"/>
      <c r="H5" s="71" t="s">
        <v>4</v>
      </c>
      <c r="I5" s="53">
        <f>E81</f>
        <v>0</v>
      </c>
      <c r="J5" s="53">
        <f>E88</f>
        <v>0</v>
      </c>
      <c r="K5" s="53">
        <f>E95</f>
        <v>0</v>
      </c>
      <c r="L5" s="53">
        <f>E104</f>
        <v>0</v>
      </c>
    </row>
    <row r="6" spans="1:12" x14ac:dyDescent="0.2">
      <c r="A6" s="64" t="s">
        <v>73</v>
      </c>
      <c r="B6" s="54"/>
      <c r="C6" s="55"/>
      <c r="D6" s="55"/>
      <c r="E6" s="55"/>
      <c r="F6" s="63"/>
      <c r="H6" s="71" t="s">
        <v>5</v>
      </c>
      <c r="I6" s="53">
        <f>E116</f>
        <v>0</v>
      </c>
      <c r="J6" s="53">
        <f>E123</f>
        <v>0</v>
      </c>
      <c r="K6" s="53">
        <f>E130</f>
        <v>0</v>
      </c>
      <c r="L6" s="53">
        <f>E139</f>
        <v>0</v>
      </c>
    </row>
    <row r="7" spans="1:12" x14ac:dyDescent="0.2">
      <c r="A7" s="53">
        <f>E3</f>
        <v>0</v>
      </c>
      <c r="B7" s="54" t="s">
        <v>74</v>
      </c>
      <c r="C7" s="51">
        <f>計算シート!$BL$11</f>
        <v>6.5</v>
      </c>
      <c r="D7" s="54" t="s">
        <v>70</v>
      </c>
      <c r="E7" s="52">
        <f>A7*C7/100</f>
        <v>0</v>
      </c>
      <c r="F7" s="63"/>
      <c r="H7" s="71" t="s">
        <v>77</v>
      </c>
      <c r="I7" s="53">
        <f>E151</f>
        <v>0</v>
      </c>
      <c r="J7" s="53">
        <f>E158</f>
        <v>0</v>
      </c>
      <c r="K7" s="53">
        <f>E165</f>
        <v>0</v>
      </c>
      <c r="L7" s="53">
        <f>E174</f>
        <v>0</v>
      </c>
    </row>
    <row r="8" spans="1:12" x14ac:dyDescent="0.2">
      <c r="A8" s="62" t="s">
        <v>48</v>
      </c>
      <c r="B8" s="54"/>
      <c r="C8" s="54"/>
      <c r="D8" s="55"/>
      <c r="E8" s="55"/>
      <c r="F8" s="63"/>
      <c r="H8" s="71" t="s">
        <v>11</v>
      </c>
      <c r="I8" s="53">
        <f>E186</f>
        <v>0</v>
      </c>
      <c r="J8" s="53">
        <f>E193</f>
        <v>0</v>
      </c>
      <c r="K8" s="53">
        <f>E200</f>
        <v>0</v>
      </c>
      <c r="L8" s="53">
        <f>E209</f>
        <v>0</v>
      </c>
    </row>
    <row r="9" spans="1:12" x14ac:dyDescent="0.2">
      <c r="A9" s="52">
        <f>IF(A1="",0,計算シート!$BL$13)</f>
        <v>0</v>
      </c>
      <c r="B9" s="54" t="s">
        <v>74</v>
      </c>
      <c r="C9" s="51">
        <f>IF(計算シート!$X$32=計算シート!$BI$25,0.3,IF(計算シート!$X$32=計算シート!$BI$26,0.5,IF(計算シート!$X$32=計算シート!$BI$27,0.8,1)))</f>
        <v>1</v>
      </c>
      <c r="D9" s="54" t="s">
        <v>70</v>
      </c>
      <c r="E9" s="52">
        <f>A9*C9*F9</f>
        <v>0</v>
      </c>
      <c r="F9" s="63">
        <f>IF(計算シート!EF11&lt;7,0.5,1)</f>
        <v>1</v>
      </c>
      <c r="H9" s="71" t="s">
        <v>21</v>
      </c>
      <c r="I9" s="53">
        <f>E221</f>
        <v>0</v>
      </c>
      <c r="J9" s="53">
        <f>E228</f>
        <v>0</v>
      </c>
      <c r="K9" s="53">
        <f>E235</f>
        <v>0</v>
      </c>
      <c r="L9" s="53">
        <f>E244</f>
        <v>0</v>
      </c>
    </row>
    <row r="10" spans="1:12" ht="13.5" thickBot="1" x14ac:dyDescent="0.25">
      <c r="A10" s="65"/>
      <c r="B10" s="54"/>
      <c r="C10" s="55"/>
      <c r="D10" s="55"/>
      <c r="E10" s="58"/>
      <c r="F10" s="63"/>
      <c r="H10" s="71" t="s">
        <v>22</v>
      </c>
      <c r="I10" s="53">
        <f>E256</f>
        <v>0</v>
      </c>
      <c r="J10" s="53">
        <f>E263</f>
        <v>0</v>
      </c>
      <c r="K10" s="53">
        <f>E270</f>
        <v>0</v>
      </c>
      <c r="L10" s="53">
        <f>E279</f>
        <v>0</v>
      </c>
    </row>
    <row r="11" spans="1:12" ht="13.5" thickBot="1" x14ac:dyDescent="0.25">
      <c r="A11" s="65"/>
      <c r="B11" s="54"/>
      <c r="C11" s="55"/>
      <c r="D11" s="55"/>
      <c r="E11" s="57">
        <f>E7+E9</f>
        <v>0</v>
      </c>
      <c r="F11" s="63"/>
      <c r="H11" s="71" t="s">
        <v>23</v>
      </c>
      <c r="I11" s="53">
        <f>E291</f>
        <v>0</v>
      </c>
      <c r="J11" s="53">
        <f>E298</f>
        <v>0</v>
      </c>
      <c r="K11" s="53">
        <f>E305</f>
        <v>0</v>
      </c>
      <c r="L11" s="53">
        <f>E314</f>
        <v>0</v>
      </c>
    </row>
    <row r="12" spans="1:12" x14ac:dyDescent="0.2">
      <c r="A12" s="388" t="s">
        <v>75</v>
      </c>
      <c r="B12" s="388"/>
      <c r="C12" s="388"/>
      <c r="D12" s="388"/>
      <c r="E12" s="389"/>
      <c r="F12" s="63"/>
      <c r="H12" s="71" t="s">
        <v>24</v>
      </c>
      <c r="I12" s="53">
        <f>E326</f>
        <v>0</v>
      </c>
      <c r="J12" s="53">
        <f>E333</f>
        <v>0</v>
      </c>
      <c r="K12" s="53">
        <f>E340</f>
        <v>0</v>
      </c>
      <c r="L12" s="53">
        <f>E349</f>
        <v>0</v>
      </c>
    </row>
    <row r="13" spans="1:12" x14ac:dyDescent="0.2">
      <c r="A13" s="64" t="s">
        <v>73</v>
      </c>
      <c r="B13" s="54"/>
      <c r="C13" s="55"/>
      <c r="D13" s="55"/>
      <c r="E13" s="55"/>
      <c r="F13" s="63"/>
      <c r="H13" s="71" t="s">
        <v>50</v>
      </c>
      <c r="I13" s="52">
        <f>IF($A$1="",0,(計算シート!$BL$17*C9))</f>
        <v>0</v>
      </c>
      <c r="J13" s="52">
        <f>IF($A$1="",0,(計算シート!$BO$17*C16))</f>
        <v>0</v>
      </c>
      <c r="K13" s="52">
        <f>IF(SUM(K3:K12)=0,0,IF($A$1="",0,(計算シート!$BR$17*C23)))</f>
        <v>0</v>
      </c>
      <c r="L13" s="53">
        <f>IF(SUM(L3:L12)=0,0,IF($A$1="",0,(計算シート!$BU$17*C30)))</f>
        <v>0</v>
      </c>
    </row>
    <row r="14" spans="1:12" x14ac:dyDescent="0.2">
      <c r="A14" s="53">
        <f>E3</f>
        <v>0</v>
      </c>
      <c r="B14" s="54" t="s">
        <v>74</v>
      </c>
      <c r="C14" s="51">
        <f>計算シート!$BO$11</f>
        <v>2.5</v>
      </c>
      <c r="D14" s="54" t="s">
        <v>70</v>
      </c>
      <c r="E14" s="52">
        <f>A14*C14/100</f>
        <v>0</v>
      </c>
      <c r="F14" s="63"/>
      <c r="H14" s="71" t="s">
        <v>79</v>
      </c>
      <c r="I14" s="53">
        <f>SUM(I3:I13)</f>
        <v>0</v>
      </c>
      <c r="J14" s="53">
        <f t="shared" ref="J14:K14" si="0">SUM(J3:J13)</f>
        <v>0</v>
      </c>
      <c r="K14" s="53">
        <f t="shared" si="0"/>
        <v>0</v>
      </c>
      <c r="L14" s="53">
        <f>SUM(L3:L13)</f>
        <v>0</v>
      </c>
    </row>
    <row r="15" spans="1:12" x14ac:dyDescent="0.2">
      <c r="A15" s="62" t="s">
        <v>48</v>
      </c>
      <c r="B15" s="54"/>
      <c r="C15" s="54"/>
      <c r="D15" s="55"/>
      <c r="E15" s="55"/>
      <c r="F15" s="63"/>
      <c r="H15" s="72" t="s">
        <v>80</v>
      </c>
      <c r="I15" s="73">
        <f>ROUNDDOWN(I14,-2)</f>
        <v>0</v>
      </c>
      <c r="J15" s="73">
        <f t="shared" ref="J15" si="1">ROUNDDOWN(J14,-2)</f>
        <v>0</v>
      </c>
      <c r="K15" s="73">
        <f>ROUNDDOWN(K14,-2)</f>
        <v>0</v>
      </c>
      <c r="L15" s="174">
        <f>ROUNDDOWN(L14,-2)</f>
        <v>0</v>
      </c>
    </row>
    <row r="16" spans="1:12" x14ac:dyDescent="0.2">
      <c r="A16" s="52">
        <f>IF(A1="",0,計算シート!$BO$13)</f>
        <v>0</v>
      </c>
      <c r="B16" s="54" t="s">
        <v>74</v>
      </c>
      <c r="C16" s="51">
        <f>IF(計算シート!$X$32=計算シート!$BI$25,0.3,IF(計算シート!$X$32=計算シート!$BI$26,0.5,IF(計算シート!$X$32=計算シート!$BI$27,0.8,1)))</f>
        <v>1</v>
      </c>
      <c r="D16" s="54" t="s">
        <v>70</v>
      </c>
      <c r="E16" s="52">
        <f>A16*C16*F16</f>
        <v>0</v>
      </c>
      <c r="F16" s="63">
        <f>F9</f>
        <v>1</v>
      </c>
    </row>
    <row r="17" spans="1:6" ht="13.5" thickBot="1" x14ac:dyDescent="0.25">
      <c r="A17" s="65"/>
      <c r="B17" s="54"/>
      <c r="C17" s="55"/>
      <c r="D17" s="55"/>
      <c r="E17" s="58"/>
      <c r="F17" s="63"/>
    </row>
    <row r="18" spans="1:6" ht="13.5" thickBot="1" x14ac:dyDescent="0.25">
      <c r="A18" s="65"/>
      <c r="B18" s="54"/>
      <c r="C18" s="55"/>
      <c r="D18" s="55"/>
      <c r="E18" s="57">
        <f>E14+E16</f>
        <v>0</v>
      </c>
      <c r="F18" s="63"/>
    </row>
    <row r="19" spans="1:6" x14ac:dyDescent="0.2">
      <c r="A19" s="388" t="s">
        <v>76</v>
      </c>
      <c r="B19" s="388"/>
      <c r="C19" s="388"/>
      <c r="D19" s="388"/>
      <c r="E19" s="389"/>
      <c r="F19" s="63"/>
    </row>
    <row r="20" spans="1:6" x14ac:dyDescent="0.2">
      <c r="A20" s="64" t="s">
        <v>73</v>
      </c>
      <c r="B20" s="54"/>
      <c r="C20" s="55"/>
      <c r="D20" s="55"/>
      <c r="E20" s="55"/>
      <c r="F20" s="63"/>
    </row>
    <row r="21" spans="1:6" x14ac:dyDescent="0.2">
      <c r="A21" s="53">
        <f>E3</f>
        <v>0</v>
      </c>
      <c r="B21" s="54" t="s">
        <v>74</v>
      </c>
      <c r="C21" s="56">
        <f>計算シート!$BR$11</f>
        <v>1.78</v>
      </c>
      <c r="D21" s="54" t="s">
        <v>70</v>
      </c>
      <c r="E21" s="52">
        <f>A21*C21/100</f>
        <v>0</v>
      </c>
      <c r="F21" s="63"/>
    </row>
    <row r="22" spans="1:6" x14ac:dyDescent="0.2">
      <c r="A22" s="62" t="s">
        <v>48</v>
      </c>
      <c r="B22" s="54"/>
      <c r="C22" s="54"/>
      <c r="D22" s="55"/>
      <c r="E22" s="55"/>
      <c r="F22" s="63"/>
    </row>
    <row r="23" spans="1:6" x14ac:dyDescent="0.2">
      <c r="A23" s="52">
        <f>IF(A1="",0,計算シート!$BR$13)</f>
        <v>0</v>
      </c>
      <c r="B23" s="54" t="s">
        <v>74</v>
      </c>
      <c r="C23" s="51">
        <f>IF(計算シート!$X$32=計算シート!$BI$25,0.3,IF(計算シート!$X$32=計算シート!$BI$26,0.5,IF(計算シート!$X$32=計算シート!$BI$27,0.8,1)))</f>
        <v>1</v>
      </c>
      <c r="D23" s="54" t="s">
        <v>70</v>
      </c>
      <c r="E23" s="52">
        <f>A23*C23</f>
        <v>0</v>
      </c>
      <c r="F23" s="63"/>
    </row>
    <row r="24" spans="1:6" ht="13.5" thickBot="1" x14ac:dyDescent="0.25">
      <c r="A24" s="64"/>
      <c r="B24" s="54"/>
      <c r="C24" s="55"/>
      <c r="D24" s="55"/>
      <c r="E24" s="58"/>
      <c r="F24" s="63"/>
    </row>
    <row r="25" spans="1:6" ht="13.5" thickBot="1" x14ac:dyDescent="0.25">
      <c r="A25" s="64"/>
      <c r="B25" s="390" t="s">
        <v>78</v>
      </c>
      <c r="C25" s="390"/>
      <c r="D25" s="391"/>
      <c r="E25" s="57">
        <f>IF(計算シート!BC11="【介護該当】",E21+E23,0)</f>
        <v>0</v>
      </c>
      <c r="F25" s="63"/>
    </row>
    <row r="26" spans="1:6" x14ac:dyDescent="0.2">
      <c r="A26" s="388" t="s">
        <v>197</v>
      </c>
      <c r="B26" s="388"/>
      <c r="C26" s="388"/>
      <c r="D26" s="388"/>
      <c r="E26" s="389"/>
      <c r="F26" s="63"/>
    </row>
    <row r="27" spans="1:6" x14ac:dyDescent="0.2">
      <c r="A27" s="64" t="s">
        <v>198</v>
      </c>
      <c r="B27" s="170"/>
      <c r="C27" s="170"/>
      <c r="D27" s="170"/>
      <c r="E27" s="58"/>
      <c r="F27" s="63"/>
    </row>
    <row r="28" spans="1:6" x14ac:dyDescent="0.2">
      <c r="A28" s="53">
        <f>E3</f>
        <v>0</v>
      </c>
      <c r="B28" s="170" t="s">
        <v>74</v>
      </c>
      <c r="C28" s="71">
        <f>計算シート!$BU$11</f>
        <v>0.21</v>
      </c>
      <c r="D28" s="170" t="s">
        <v>70</v>
      </c>
      <c r="E28" s="53">
        <f>A28*C28/100</f>
        <v>0</v>
      </c>
      <c r="F28" s="63"/>
    </row>
    <row r="29" spans="1:6" x14ac:dyDescent="0.2">
      <c r="A29" s="64" t="s">
        <v>199</v>
      </c>
      <c r="B29" s="170"/>
      <c r="C29" s="170"/>
      <c r="D29" s="55"/>
      <c r="E29" s="58"/>
      <c r="F29" s="63"/>
    </row>
    <row r="30" spans="1:6" x14ac:dyDescent="0.2">
      <c r="A30" s="51">
        <f>IF(A1="",0,計算シート!$BU$13)</f>
        <v>0</v>
      </c>
      <c r="B30" s="170" t="s">
        <v>74</v>
      </c>
      <c r="C30" s="71">
        <f>IF(計算シート!$X$32=計算シート!$BI$25,0.3,IF(計算シート!$X$32=計算シート!$BI$26,0.5,IF(計算シート!$X$32=計算シート!$BI$27,0.8,1)))</f>
        <v>1</v>
      </c>
      <c r="D30" s="170" t="s">
        <v>70</v>
      </c>
      <c r="E30" s="53">
        <f>A30*C30*F30</f>
        <v>0</v>
      </c>
      <c r="F30" s="63">
        <f>F9</f>
        <v>1</v>
      </c>
    </row>
    <row r="31" spans="1:6" x14ac:dyDescent="0.2">
      <c r="A31" s="64" t="s">
        <v>219</v>
      </c>
      <c r="B31" s="188"/>
      <c r="C31" s="188"/>
      <c r="D31" s="188"/>
      <c r="E31" s="58"/>
      <c r="F31" s="63"/>
    </row>
    <row r="32" spans="1:6" x14ac:dyDescent="0.2">
      <c r="A32" s="51">
        <f>IF(A1="",0,計算シート!$BU$15)</f>
        <v>0</v>
      </c>
      <c r="B32" s="188" t="s">
        <v>74</v>
      </c>
      <c r="C32" s="71">
        <f>IF(計算シート!$X$32=計算シート!$BI$25,0.3,IF(計算シート!$X$32=計算シート!$BI$26,0.5,IF(計算シート!$X$32=計算シート!$BI$27,0.8,1)))</f>
        <v>1</v>
      </c>
      <c r="D32" s="188" t="s">
        <v>70</v>
      </c>
      <c r="E32" s="53">
        <f>A32*C32*F32</f>
        <v>0</v>
      </c>
      <c r="F32" s="63">
        <f>F9</f>
        <v>1</v>
      </c>
    </row>
    <row r="33" spans="1:6" ht="13.5" thickBot="1" x14ac:dyDescent="0.25">
      <c r="A33" s="64"/>
      <c r="B33" s="170"/>
      <c r="C33" s="170"/>
      <c r="D33" s="170"/>
      <c r="E33" s="58"/>
      <c r="F33" s="63"/>
    </row>
    <row r="34" spans="1:6" ht="13.5" thickBot="1" x14ac:dyDescent="0.25">
      <c r="A34" s="64"/>
      <c r="B34" s="170"/>
      <c r="C34" s="170" t="s">
        <v>210</v>
      </c>
      <c r="D34" s="170"/>
      <c r="E34" s="57">
        <f>IF(計算シート!$BC$11="【未成年該当】",0,E28+E30+E32)</f>
        <v>0</v>
      </c>
      <c r="F34" s="63"/>
    </row>
    <row r="35" spans="1:6" x14ac:dyDescent="0.2">
      <c r="A35" s="66"/>
      <c r="B35" s="67"/>
      <c r="C35" s="68"/>
      <c r="D35" s="68"/>
      <c r="E35" s="68"/>
      <c r="F35" s="69"/>
    </row>
    <row r="36" spans="1:6" x14ac:dyDescent="0.2">
      <c r="A36" s="70" t="str">
        <f>計算シート!B12</f>
        <v/>
      </c>
      <c r="B36" s="59"/>
      <c r="C36" s="60"/>
      <c r="D36" s="60"/>
      <c r="E36" s="60"/>
      <c r="F36" s="61"/>
    </row>
    <row r="37" spans="1:6" x14ac:dyDescent="0.2">
      <c r="A37" s="62" t="s">
        <v>14</v>
      </c>
      <c r="B37" s="54"/>
      <c r="C37" s="54" t="s">
        <v>69</v>
      </c>
      <c r="D37" s="55"/>
      <c r="E37" s="54" t="s">
        <v>71</v>
      </c>
      <c r="F37" s="63"/>
    </row>
    <row r="38" spans="1:6" x14ac:dyDescent="0.2">
      <c r="A38" s="52">
        <f>IF(A36="",0,計算シート!AB12)</f>
        <v>0</v>
      </c>
      <c r="B38" s="54" t="s">
        <v>68</v>
      </c>
      <c r="C38" s="52">
        <v>430000</v>
      </c>
      <c r="D38" s="54" t="s">
        <v>70</v>
      </c>
      <c r="E38" s="52">
        <f>IF((A38-C38)&lt;0,0,A38-C38)</f>
        <v>0</v>
      </c>
      <c r="F38" s="63"/>
    </row>
    <row r="39" spans="1:6" x14ac:dyDescent="0.2">
      <c r="A39" s="64"/>
      <c r="B39" s="54"/>
      <c r="C39" s="55"/>
      <c r="D39" s="55"/>
      <c r="E39" s="55"/>
      <c r="F39" s="63"/>
    </row>
    <row r="40" spans="1:6" x14ac:dyDescent="0.2">
      <c r="A40" s="388" t="s">
        <v>72</v>
      </c>
      <c r="B40" s="388"/>
      <c r="C40" s="388"/>
      <c r="D40" s="388"/>
      <c r="E40" s="388"/>
      <c r="F40" s="63"/>
    </row>
    <row r="41" spans="1:6" x14ac:dyDescent="0.2">
      <c r="A41" s="64" t="s">
        <v>73</v>
      </c>
      <c r="B41" s="54"/>
      <c r="C41" s="55"/>
      <c r="D41" s="55"/>
      <c r="E41" s="55"/>
      <c r="F41" s="63"/>
    </row>
    <row r="42" spans="1:6" x14ac:dyDescent="0.2">
      <c r="A42" s="53">
        <f>E38</f>
        <v>0</v>
      </c>
      <c r="B42" s="54" t="s">
        <v>74</v>
      </c>
      <c r="C42" s="51">
        <f>計算シート!$BL$11</f>
        <v>6.5</v>
      </c>
      <c r="D42" s="54" t="s">
        <v>70</v>
      </c>
      <c r="E42" s="52">
        <f>A42*C42/100</f>
        <v>0</v>
      </c>
      <c r="F42" s="63"/>
    </row>
    <row r="43" spans="1:6" x14ac:dyDescent="0.2">
      <c r="A43" s="62" t="s">
        <v>48</v>
      </c>
      <c r="B43" s="54"/>
      <c r="C43" s="54"/>
      <c r="D43" s="55"/>
      <c r="E43" s="55"/>
      <c r="F43" s="63"/>
    </row>
    <row r="44" spans="1:6" x14ac:dyDescent="0.2">
      <c r="A44" s="52">
        <f>IF(A36="",0,計算シート!$BL$13)</f>
        <v>0</v>
      </c>
      <c r="B44" s="54" t="s">
        <v>74</v>
      </c>
      <c r="C44" s="51">
        <f>IF(計算シート!$X$32=計算シート!$BI$25,0.3,IF(計算シート!$X$32=計算シート!$BI$26,0.5,IF(計算シート!$X$32=計算シート!$BI$27,0.8,1)))</f>
        <v>1</v>
      </c>
      <c r="D44" s="54" t="s">
        <v>70</v>
      </c>
      <c r="E44" s="52">
        <f>A44*C44*F44</f>
        <v>0</v>
      </c>
      <c r="F44" s="63">
        <f>IF(計算シート!EF12&lt;7,0.5,1)</f>
        <v>1</v>
      </c>
    </row>
    <row r="45" spans="1:6" ht="13.5" thickBot="1" x14ac:dyDescent="0.25">
      <c r="A45" s="65"/>
      <c r="B45" s="54"/>
      <c r="C45" s="55"/>
      <c r="D45" s="55"/>
      <c r="E45" s="58"/>
      <c r="F45" s="63"/>
    </row>
    <row r="46" spans="1:6" ht="13.5" thickBot="1" x14ac:dyDescent="0.25">
      <c r="A46" s="65"/>
      <c r="B46" s="54"/>
      <c r="C46" s="55"/>
      <c r="D46" s="55"/>
      <c r="E46" s="57">
        <f>E42+E44</f>
        <v>0</v>
      </c>
      <c r="F46" s="63"/>
    </row>
    <row r="47" spans="1:6" x14ac:dyDescent="0.2">
      <c r="A47" s="388" t="s">
        <v>75</v>
      </c>
      <c r="B47" s="388"/>
      <c r="C47" s="388"/>
      <c r="D47" s="388"/>
      <c r="E47" s="389"/>
      <c r="F47" s="63"/>
    </row>
    <row r="48" spans="1:6" x14ac:dyDescent="0.2">
      <c r="A48" s="64" t="s">
        <v>73</v>
      </c>
      <c r="B48" s="54"/>
      <c r="C48" s="55"/>
      <c r="D48" s="55"/>
      <c r="E48" s="55"/>
      <c r="F48" s="63"/>
    </row>
    <row r="49" spans="1:6" x14ac:dyDescent="0.2">
      <c r="A49" s="53">
        <f>E38</f>
        <v>0</v>
      </c>
      <c r="B49" s="54" t="s">
        <v>74</v>
      </c>
      <c r="C49" s="51">
        <f>計算シート!$BO$11</f>
        <v>2.5</v>
      </c>
      <c r="D49" s="54" t="s">
        <v>70</v>
      </c>
      <c r="E49" s="52">
        <f>A49*C49/100</f>
        <v>0</v>
      </c>
      <c r="F49" s="63"/>
    </row>
    <row r="50" spans="1:6" x14ac:dyDescent="0.2">
      <c r="A50" s="62" t="s">
        <v>48</v>
      </c>
      <c r="B50" s="54"/>
      <c r="C50" s="54"/>
      <c r="D50" s="55"/>
      <c r="E50" s="55"/>
      <c r="F50" s="63"/>
    </row>
    <row r="51" spans="1:6" x14ac:dyDescent="0.2">
      <c r="A51" s="52">
        <f>IF(A36="",0,計算シート!$BO$13)</f>
        <v>0</v>
      </c>
      <c r="B51" s="54" t="s">
        <v>74</v>
      </c>
      <c r="C51" s="51">
        <f>IF(計算シート!$X$32=計算シート!$BI$25,0.3,IF(計算シート!$X$32=計算シート!$BI$26,0.5,IF(計算シート!$X$32=計算シート!$BI$27,0.8,1)))</f>
        <v>1</v>
      </c>
      <c r="D51" s="54" t="s">
        <v>70</v>
      </c>
      <c r="E51" s="52">
        <f>A51*C51*F51</f>
        <v>0</v>
      </c>
      <c r="F51" s="63">
        <f>F44</f>
        <v>1</v>
      </c>
    </row>
    <row r="52" spans="1:6" ht="13.5" thickBot="1" x14ac:dyDescent="0.25">
      <c r="A52" s="65"/>
      <c r="B52" s="54"/>
      <c r="C52" s="55"/>
      <c r="D52" s="55"/>
      <c r="E52" s="58"/>
      <c r="F52" s="63"/>
    </row>
    <row r="53" spans="1:6" ht="13.5" thickBot="1" x14ac:dyDescent="0.25">
      <c r="A53" s="65"/>
      <c r="B53" s="54"/>
      <c r="C53" s="55"/>
      <c r="D53" s="55"/>
      <c r="E53" s="57">
        <f>E49+E51</f>
        <v>0</v>
      </c>
      <c r="F53" s="63"/>
    </row>
    <row r="54" spans="1:6" x14ac:dyDescent="0.2">
      <c r="A54" s="388" t="s">
        <v>76</v>
      </c>
      <c r="B54" s="388"/>
      <c r="C54" s="388"/>
      <c r="D54" s="388"/>
      <c r="E54" s="389"/>
      <c r="F54" s="63"/>
    </row>
    <row r="55" spans="1:6" x14ac:dyDescent="0.2">
      <c r="A55" s="64" t="s">
        <v>73</v>
      </c>
      <c r="B55" s="54"/>
      <c r="C55" s="55"/>
      <c r="D55" s="55"/>
      <c r="E55" s="55"/>
      <c r="F55" s="63"/>
    </row>
    <row r="56" spans="1:6" x14ac:dyDescent="0.2">
      <c r="A56" s="53">
        <f>E38</f>
        <v>0</v>
      </c>
      <c r="B56" s="54" t="s">
        <v>74</v>
      </c>
      <c r="C56" s="56">
        <f>計算シート!$BR$11</f>
        <v>1.78</v>
      </c>
      <c r="D56" s="54" t="s">
        <v>70</v>
      </c>
      <c r="E56" s="52">
        <f>A56*C56/100</f>
        <v>0</v>
      </c>
      <c r="F56" s="63"/>
    </row>
    <row r="57" spans="1:6" x14ac:dyDescent="0.2">
      <c r="A57" s="62" t="s">
        <v>48</v>
      </c>
      <c r="B57" s="54"/>
      <c r="C57" s="54"/>
      <c r="D57" s="55"/>
      <c r="E57" s="55"/>
      <c r="F57" s="63"/>
    </row>
    <row r="58" spans="1:6" x14ac:dyDescent="0.2">
      <c r="A58" s="52">
        <f>IF(A36="",0,計算シート!$BR$13)</f>
        <v>0</v>
      </c>
      <c r="B58" s="54" t="s">
        <v>74</v>
      </c>
      <c r="C58" s="51">
        <f>IF(計算シート!$X$32=計算シート!$BI$25,0.3,IF(計算シート!$X$32=計算シート!$BI$26,0.5,IF(計算シート!$X$32=計算シート!$BI$27,0.8,1)))</f>
        <v>1</v>
      </c>
      <c r="D58" s="54" t="s">
        <v>70</v>
      </c>
      <c r="E58" s="52">
        <f>A58*C58</f>
        <v>0</v>
      </c>
      <c r="F58" s="63"/>
    </row>
    <row r="59" spans="1:6" ht="13.5" thickBot="1" x14ac:dyDescent="0.25">
      <c r="A59" s="64"/>
      <c r="B59" s="54"/>
      <c r="C59" s="55"/>
      <c r="D59" s="55"/>
      <c r="E59" s="58"/>
      <c r="F59" s="63"/>
    </row>
    <row r="60" spans="1:6" ht="13.5" thickBot="1" x14ac:dyDescent="0.25">
      <c r="A60" s="64"/>
      <c r="B60" s="390" t="s">
        <v>78</v>
      </c>
      <c r="C60" s="390"/>
      <c r="D60" s="391"/>
      <c r="E60" s="57">
        <f>IF(計算シート!BC12="【介護該当】",E56+E58,0)</f>
        <v>0</v>
      </c>
      <c r="F60" s="63"/>
    </row>
    <row r="61" spans="1:6" x14ac:dyDescent="0.2">
      <c r="A61" s="388" t="s">
        <v>197</v>
      </c>
      <c r="B61" s="388"/>
      <c r="C61" s="388"/>
      <c r="D61" s="388"/>
      <c r="E61" s="389"/>
      <c r="F61" s="63"/>
    </row>
    <row r="62" spans="1:6" x14ac:dyDescent="0.2">
      <c r="A62" s="64" t="s">
        <v>198</v>
      </c>
      <c r="B62" s="170"/>
      <c r="C62" s="170"/>
      <c r="D62" s="170"/>
      <c r="E62" s="58"/>
      <c r="F62" s="63"/>
    </row>
    <row r="63" spans="1:6" x14ac:dyDescent="0.2">
      <c r="A63" s="53">
        <f>E38</f>
        <v>0</v>
      </c>
      <c r="B63" s="170" t="s">
        <v>74</v>
      </c>
      <c r="C63" s="71">
        <f>計算シート!$BU$11</f>
        <v>0.21</v>
      </c>
      <c r="D63" s="170" t="s">
        <v>70</v>
      </c>
      <c r="E63" s="53">
        <f>A63*C63/100</f>
        <v>0</v>
      </c>
      <c r="F63" s="63"/>
    </row>
    <row r="64" spans="1:6" x14ac:dyDescent="0.2">
      <c r="A64" s="64" t="s">
        <v>199</v>
      </c>
      <c r="B64" s="170"/>
      <c r="C64" s="170"/>
      <c r="D64" s="55"/>
      <c r="E64" s="58"/>
      <c r="F64" s="63"/>
    </row>
    <row r="65" spans="1:6" x14ac:dyDescent="0.2">
      <c r="A65" s="51">
        <f>IF(A36="",0,計算シート!$BU$13)</f>
        <v>0</v>
      </c>
      <c r="B65" s="170" t="s">
        <v>74</v>
      </c>
      <c r="C65" s="71">
        <f>IF(計算シート!$X$32=計算シート!$BI$25,0.3,IF(計算シート!$X$32=計算シート!$BI$26,0.5,IF(計算シート!$X$32=計算シート!$BI$27,0.8,1)))</f>
        <v>1</v>
      </c>
      <c r="D65" s="170" t="s">
        <v>70</v>
      </c>
      <c r="E65" s="53">
        <f>A65*C65*F65</f>
        <v>0</v>
      </c>
      <c r="F65" s="63">
        <f>F44</f>
        <v>1</v>
      </c>
    </row>
    <row r="66" spans="1:6" x14ac:dyDescent="0.2">
      <c r="A66" s="64" t="s">
        <v>219</v>
      </c>
      <c r="B66" s="188"/>
      <c r="C66" s="188"/>
      <c r="D66" s="188"/>
      <c r="E66" s="58"/>
      <c r="F66" s="63"/>
    </row>
    <row r="67" spans="1:6" x14ac:dyDescent="0.2">
      <c r="A67" s="51">
        <f>IF(A36="",0,計算シート!$BU$15)</f>
        <v>0</v>
      </c>
      <c r="B67" s="188" t="s">
        <v>74</v>
      </c>
      <c r="C67" s="71">
        <f>IF(計算シート!$X$32=計算シート!$BI$25,0.3,IF(計算シート!$X$32=計算シート!$BI$26,0.5,IF(計算シート!$X$32=計算シート!$BI$27,0.8,1)))</f>
        <v>1</v>
      </c>
      <c r="D67" s="188" t="s">
        <v>70</v>
      </c>
      <c r="E67" s="53">
        <f>A67*C67*F67</f>
        <v>0</v>
      </c>
      <c r="F67" s="63">
        <f>F44</f>
        <v>1</v>
      </c>
    </row>
    <row r="68" spans="1:6" ht="13.5" thickBot="1" x14ac:dyDescent="0.25">
      <c r="A68" s="64"/>
      <c r="B68" s="188"/>
      <c r="C68" s="188"/>
      <c r="D68" s="188"/>
      <c r="E68" s="58"/>
      <c r="F68" s="63"/>
    </row>
    <row r="69" spans="1:6" ht="13.5" thickBot="1" x14ac:dyDescent="0.25">
      <c r="A69" s="64"/>
      <c r="B69" s="170"/>
      <c r="C69" s="170" t="s">
        <v>210</v>
      </c>
      <c r="D69" s="170"/>
      <c r="E69" s="57">
        <f>IF(計算シート!$BC$12="【未成年該当】",0,E63+E65+E67)</f>
        <v>0</v>
      </c>
      <c r="F69" s="63"/>
    </row>
    <row r="70" spans="1:6" x14ac:dyDescent="0.2">
      <c r="A70" s="66"/>
      <c r="B70" s="67"/>
      <c r="C70" s="68"/>
      <c r="D70" s="68"/>
      <c r="E70" s="68"/>
      <c r="F70" s="69"/>
    </row>
    <row r="71" spans="1:6" x14ac:dyDescent="0.2">
      <c r="A71" s="70" t="str">
        <f>計算シート!B13</f>
        <v/>
      </c>
      <c r="B71" s="59"/>
      <c r="C71" s="60"/>
      <c r="D71" s="60"/>
      <c r="E71" s="60"/>
      <c r="F71" s="61"/>
    </row>
    <row r="72" spans="1:6" x14ac:dyDescent="0.2">
      <c r="A72" s="62" t="s">
        <v>14</v>
      </c>
      <c r="B72" s="54"/>
      <c r="C72" s="54" t="s">
        <v>69</v>
      </c>
      <c r="D72" s="55"/>
      <c r="E72" s="54" t="s">
        <v>71</v>
      </c>
      <c r="F72" s="63"/>
    </row>
    <row r="73" spans="1:6" x14ac:dyDescent="0.2">
      <c r="A73" s="52">
        <f>IF(A71="",0,計算シート!AB13)</f>
        <v>0</v>
      </c>
      <c r="B73" s="54" t="s">
        <v>68</v>
      </c>
      <c r="C73" s="52">
        <v>430000</v>
      </c>
      <c r="D73" s="54" t="s">
        <v>70</v>
      </c>
      <c r="E73" s="52">
        <f>IF((A73-C73)&lt;0,0,A73-C73)</f>
        <v>0</v>
      </c>
      <c r="F73" s="63"/>
    </row>
    <row r="74" spans="1:6" x14ac:dyDescent="0.2">
      <c r="A74" s="64"/>
      <c r="B74" s="54"/>
      <c r="C74" s="55"/>
      <c r="D74" s="55"/>
      <c r="E74" s="55"/>
      <c r="F74" s="63"/>
    </row>
    <row r="75" spans="1:6" x14ac:dyDescent="0.2">
      <c r="A75" s="388" t="s">
        <v>72</v>
      </c>
      <c r="B75" s="388"/>
      <c r="C75" s="388"/>
      <c r="D75" s="388"/>
      <c r="E75" s="388"/>
      <c r="F75" s="63"/>
    </row>
    <row r="76" spans="1:6" x14ac:dyDescent="0.2">
      <c r="A76" s="64" t="s">
        <v>73</v>
      </c>
      <c r="B76" s="54"/>
      <c r="C76" s="55"/>
      <c r="D76" s="55"/>
      <c r="E76" s="55"/>
      <c r="F76" s="63"/>
    </row>
    <row r="77" spans="1:6" x14ac:dyDescent="0.2">
      <c r="A77" s="53">
        <f>E73</f>
        <v>0</v>
      </c>
      <c r="B77" s="54" t="s">
        <v>74</v>
      </c>
      <c r="C77" s="51">
        <f>計算シート!$BL$11</f>
        <v>6.5</v>
      </c>
      <c r="D77" s="54" t="s">
        <v>70</v>
      </c>
      <c r="E77" s="52">
        <f>A77*C77/100</f>
        <v>0</v>
      </c>
      <c r="F77" s="63"/>
    </row>
    <row r="78" spans="1:6" x14ac:dyDescent="0.2">
      <c r="A78" s="62" t="s">
        <v>48</v>
      </c>
      <c r="B78" s="54"/>
      <c r="C78" s="54"/>
      <c r="D78" s="55"/>
      <c r="E78" s="55"/>
      <c r="F78" s="63"/>
    </row>
    <row r="79" spans="1:6" x14ac:dyDescent="0.2">
      <c r="A79" s="52">
        <f>IF(A71="",0,計算シート!$BL$13)</f>
        <v>0</v>
      </c>
      <c r="B79" s="54" t="s">
        <v>74</v>
      </c>
      <c r="C79" s="51">
        <f>IF(計算シート!$X$32=計算シート!$BI$25,0.3,IF(計算シート!$X$32=計算シート!$BI$26,0.5,IF(計算シート!$X$32=計算シート!$BI$27,0.8,1)))</f>
        <v>1</v>
      </c>
      <c r="D79" s="54" t="s">
        <v>70</v>
      </c>
      <c r="E79" s="52">
        <f>A79*C79*F79</f>
        <v>0</v>
      </c>
      <c r="F79" s="63">
        <f>IF(計算シート!EF13&lt;7,0.5,1)</f>
        <v>1</v>
      </c>
    </row>
    <row r="80" spans="1:6" ht="13.5" thickBot="1" x14ac:dyDescent="0.25">
      <c r="A80" s="65"/>
      <c r="B80" s="54"/>
      <c r="C80" s="55"/>
      <c r="D80" s="55"/>
      <c r="E80" s="58"/>
      <c r="F80" s="63"/>
    </row>
    <row r="81" spans="1:6" ht="13.5" thickBot="1" x14ac:dyDescent="0.25">
      <c r="A81" s="65"/>
      <c r="B81" s="54"/>
      <c r="C81" s="55"/>
      <c r="D81" s="55"/>
      <c r="E81" s="57">
        <f>E77+E79</f>
        <v>0</v>
      </c>
      <c r="F81" s="63"/>
    </row>
    <row r="82" spans="1:6" x14ac:dyDescent="0.2">
      <c r="A82" s="388" t="s">
        <v>75</v>
      </c>
      <c r="B82" s="388"/>
      <c r="C82" s="388"/>
      <c r="D82" s="388"/>
      <c r="E82" s="389"/>
      <c r="F82" s="63"/>
    </row>
    <row r="83" spans="1:6" x14ac:dyDescent="0.2">
      <c r="A83" s="64" t="s">
        <v>73</v>
      </c>
      <c r="B83" s="54"/>
      <c r="C83" s="55"/>
      <c r="D83" s="55"/>
      <c r="E83" s="55"/>
      <c r="F83" s="63"/>
    </row>
    <row r="84" spans="1:6" x14ac:dyDescent="0.2">
      <c r="A84" s="53">
        <f>E73</f>
        <v>0</v>
      </c>
      <c r="B84" s="54" t="s">
        <v>74</v>
      </c>
      <c r="C84" s="51">
        <f>計算シート!$BO$11</f>
        <v>2.5</v>
      </c>
      <c r="D84" s="54" t="s">
        <v>70</v>
      </c>
      <c r="E84" s="52">
        <f>A84*C84/100</f>
        <v>0</v>
      </c>
      <c r="F84" s="63"/>
    </row>
    <row r="85" spans="1:6" x14ac:dyDescent="0.2">
      <c r="A85" s="62" t="s">
        <v>48</v>
      </c>
      <c r="B85" s="54"/>
      <c r="C85" s="54"/>
      <c r="D85" s="55"/>
      <c r="E85" s="55"/>
      <c r="F85" s="63"/>
    </row>
    <row r="86" spans="1:6" x14ac:dyDescent="0.2">
      <c r="A86" s="52">
        <f>IF(A71="",0,計算シート!$BO$13)</f>
        <v>0</v>
      </c>
      <c r="B86" s="54" t="s">
        <v>74</v>
      </c>
      <c r="C86" s="51">
        <f>IF(計算シート!$X$32=計算シート!$BI$25,0.3,IF(計算シート!$X$32=計算シート!$BI$26,0.5,IF(計算シート!$X$32=計算シート!$BI$27,0.8,1)))</f>
        <v>1</v>
      </c>
      <c r="D86" s="54" t="s">
        <v>70</v>
      </c>
      <c r="E86" s="52">
        <f>A86*C86*F86</f>
        <v>0</v>
      </c>
      <c r="F86" s="63">
        <f>F79</f>
        <v>1</v>
      </c>
    </row>
    <row r="87" spans="1:6" ht="13.5" thickBot="1" x14ac:dyDescent="0.25">
      <c r="A87" s="65"/>
      <c r="B87" s="54"/>
      <c r="C87" s="55"/>
      <c r="D87" s="55"/>
      <c r="E87" s="58"/>
      <c r="F87" s="63"/>
    </row>
    <row r="88" spans="1:6" ht="13.5" thickBot="1" x14ac:dyDescent="0.25">
      <c r="A88" s="65"/>
      <c r="B88" s="54"/>
      <c r="C88" s="55"/>
      <c r="D88" s="55"/>
      <c r="E88" s="57">
        <f>E84+E86</f>
        <v>0</v>
      </c>
      <c r="F88" s="63"/>
    </row>
    <row r="89" spans="1:6" x14ac:dyDescent="0.2">
      <c r="A89" s="388" t="s">
        <v>76</v>
      </c>
      <c r="B89" s="388"/>
      <c r="C89" s="388"/>
      <c r="D89" s="388"/>
      <c r="E89" s="389"/>
      <c r="F89" s="63"/>
    </row>
    <row r="90" spans="1:6" x14ac:dyDescent="0.2">
      <c r="A90" s="64" t="s">
        <v>73</v>
      </c>
      <c r="B90" s="54"/>
      <c r="C90" s="55"/>
      <c r="D90" s="55"/>
      <c r="E90" s="55"/>
      <c r="F90" s="63"/>
    </row>
    <row r="91" spans="1:6" x14ac:dyDescent="0.2">
      <c r="A91" s="53">
        <f>E73</f>
        <v>0</v>
      </c>
      <c r="B91" s="54" t="s">
        <v>74</v>
      </c>
      <c r="C91" s="56">
        <f>計算シート!$BR$11</f>
        <v>1.78</v>
      </c>
      <c r="D91" s="54" t="s">
        <v>70</v>
      </c>
      <c r="E91" s="52">
        <f>A91*C91/100</f>
        <v>0</v>
      </c>
      <c r="F91" s="63"/>
    </row>
    <row r="92" spans="1:6" x14ac:dyDescent="0.2">
      <c r="A92" s="62" t="s">
        <v>48</v>
      </c>
      <c r="B92" s="54"/>
      <c r="C92" s="54"/>
      <c r="D92" s="55"/>
      <c r="E92" s="55"/>
      <c r="F92" s="63"/>
    </row>
    <row r="93" spans="1:6" x14ac:dyDescent="0.2">
      <c r="A93" s="52">
        <f>IF(A71="",0,計算シート!$BR$13)</f>
        <v>0</v>
      </c>
      <c r="B93" s="54" t="s">
        <v>74</v>
      </c>
      <c r="C93" s="51">
        <f>IF(計算シート!$X$32=計算シート!$BI$25,0.3,IF(計算シート!$X$32=計算シート!$BI$26,0.5,IF(計算シート!$X$32=計算シート!$BI$27,0.8,1)))</f>
        <v>1</v>
      </c>
      <c r="D93" s="54" t="s">
        <v>70</v>
      </c>
      <c r="E93" s="52">
        <f>A93*C93</f>
        <v>0</v>
      </c>
      <c r="F93" s="63"/>
    </row>
    <row r="94" spans="1:6" ht="13.5" thickBot="1" x14ac:dyDescent="0.25">
      <c r="A94" s="64"/>
      <c r="B94" s="54"/>
      <c r="C94" s="55"/>
      <c r="D94" s="55"/>
      <c r="E94" s="58"/>
      <c r="F94" s="63"/>
    </row>
    <row r="95" spans="1:6" ht="13.5" thickBot="1" x14ac:dyDescent="0.25">
      <c r="A95" s="64"/>
      <c r="B95" s="390" t="s">
        <v>78</v>
      </c>
      <c r="C95" s="390"/>
      <c r="D95" s="391"/>
      <c r="E95" s="57">
        <f>IF(計算シート!BC13="【介護該当】",E91+E93,0)</f>
        <v>0</v>
      </c>
      <c r="F95" s="63"/>
    </row>
    <row r="96" spans="1:6" x14ac:dyDescent="0.2">
      <c r="A96" s="388" t="s">
        <v>197</v>
      </c>
      <c r="B96" s="388"/>
      <c r="C96" s="388"/>
      <c r="D96" s="388"/>
      <c r="E96" s="389"/>
      <c r="F96" s="63"/>
    </row>
    <row r="97" spans="1:6" x14ac:dyDescent="0.2">
      <c r="A97" s="64" t="s">
        <v>198</v>
      </c>
      <c r="B97" s="170"/>
      <c r="C97" s="170"/>
      <c r="D97" s="170"/>
      <c r="E97" s="58"/>
      <c r="F97" s="63"/>
    </row>
    <row r="98" spans="1:6" x14ac:dyDescent="0.2">
      <c r="A98" s="53">
        <f>E73</f>
        <v>0</v>
      </c>
      <c r="B98" s="170" t="s">
        <v>74</v>
      </c>
      <c r="C98" s="71">
        <f>計算シート!$BU$11</f>
        <v>0.21</v>
      </c>
      <c r="D98" s="170" t="s">
        <v>70</v>
      </c>
      <c r="E98" s="53">
        <f>A98*C98/100</f>
        <v>0</v>
      </c>
      <c r="F98" s="63"/>
    </row>
    <row r="99" spans="1:6" x14ac:dyDescent="0.2">
      <c r="A99" s="64" t="s">
        <v>199</v>
      </c>
      <c r="B99" s="170"/>
      <c r="C99" s="170"/>
      <c r="D99" s="55"/>
      <c r="E99" s="58"/>
      <c r="F99" s="63"/>
    </row>
    <row r="100" spans="1:6" x14ac:dyDescent="0.2">
      <c r="A100" s="51">
        <f>IF(A71="",0,計算シート!$BU$13)</f>
        <v>0</v>
      </c>
      <c r="B100" s="170" t="s">
        <v>74</v>
      </c>
      <c r="C100" s="71">
        <f>IF(計算シート!$X$32=計算シート!$BI$25,0.3,IF(計算シート!$X$32=計算シート!$BI$26,0.5,IF(計算シート!$X$32=計算シート!$BI$27,0.8,1)))</f>
        <v>1</v>
      </c>
      <c r="D100" s="170" t="s">
        <v>70</v>
      </c>
      <c r="E100" s="53">
        <f>A100*C100*F100</f>
        <v>0</v>
      </c>
      <c r="F100" s="63">
        <f>F79</f>
        <v>1</v>
      </c>
    </row>
    <row r="101" spans="1:6" x14ac:dyDescent="0.2">
      <c r="A101" s="64" t="s">
        <v>219</v>
      </c>
      <c r="B101" s="188"/>
      <c r="C101" s="188"/>
      <c r="D101" s="188"/>
      <c r="E101" s="58"/>
      <c r="F101" s="63"/>
    </row>
    <row r="102" spans="1:6" x14ac:dyDescent="0.2">
      <c r="A102" s="51">
        <f>IF(A71="",0,計算シート!$BU$15)</f>
        <v>0</v>
      </c>
      <c r="B102" s="188" t="s">
        <v>74</v>
      </c>
      <c r="C102" s="71">
        <f>IF(計算シート!$X$32=計算シート!$BI$25,0.3,IF(計算シート!$X$32=計算シート!$BI$26,0.5,IF(計算シート!$X$32=計算シート!$BI$27,0.8,1)))</f>
        <v>1</v>
      </c>
      <c r="D102" s="188" t="s">
        <v>70</v>
      </c>
      <c r="E102" s="53">
        <f>A102*C102*F102</f>
        <v>0</v>
      </c>
      <c r="F102" s="63">
        <f>F79</f>
        <v>1</v>
      </c>
    </row>
    <row r="103" spans="1:6" ht="13.5" thickBot="1" x14ac:dyDescent="0.25">
      <c r="A103" s="64"/>
      <c r="B103" s="170"/>
      <c r="C103" s="170"/>
      <c r="D103" s="170"/>
      <c r="E103" s="58"/>
      <c r="F103" s="63"/>
    </row>
    <row r="104" spans="1:6" ht="13.5" thickBot="1" x14ac:dyDescent="0.25">
      <c r="A104" s="64"/>
      <c r="B104" s="170"/>
      <c r="C104" s="170" t="s">
        <v>210</v>
      </c>
      <c r="D104" s="170"/>
      <c r="E104" s="57">
        <f>IF(計算シート!$BC$13="【未成年該当】",0,E98+E100+E102)</f>
        <v>0</v>
      </c>
      <c r="F104" s="63"/>
    </row>
    <row r="105" spans="1:6" x14ac:dyDescent="0.2">
      <c r="A105" s="66"/>
      <c r="B105" s="67"/>
      <c r="C105" s="68"/>
      <c r="D105" s="68"/>
      <c r="E105" s="68"/>
      <c r="F105" s="69"/>
    </row>
    <row r="106" spans="1:6" x14ac:dyDescent="0.2">
      <c r="A106" s="70" t="str">
        <f>計算シート!B14</f>
        <v/>
      </c>
      <c r="B106" s="59"/>
      <c r="C106" s="60"/>
      <c r="D106" s="60"/>
      <c r="E106" s="60"/>
      <c r="F106" s="61"/>
    </row>
    <row r="107" spans="1:6" x14ac:dyDescent="0.2">
      <c r="A107" s="62" t="s">
        <v>14</v>
      </c>
      <c r="B107" s="54"/>
      <c r="C107" s="54" t="s">
        <v>69</v>
      </c>
      <c r="D107" s="55"/>
      <c r="E107" s="54" t="s">
        <v>71</v>
      </c>
      <c r="F107" s="63"/>
    </row>
    <row r="108" spans="1:6" x14ac:dyDescent="0.2">
      <c r="A108" s="52">
        <f>IF(A106="",0,計算シート!AB14)</f>
        <v>0</v>
      </c>
      <c r="B108" s="54" t="s">
        <v>68</v>
      </c>
      <c r="C108" s="52">
        <v>430000</v>
      </c>
      <c r="D108" s="54" t="s">
        <v>70</v>
      </c>
      <c r="E108" s="52">
        <f>IF((A108-C108)&lt;0,0,A108-C108)</f>
        <v>0</v>
      </c>
      <c r="F108" s="63"/>
    </row>
    <row r="109" spans="1:6" x14ac:dyDescent="0.2">
      <c r="A109" s="64"/>
      <c r="B109" s="54"/>
      <c r="C109" s="55"/>
      <c r="D109" s="55"/>
      <c r="E109" s="55"/>
      <c r="F109" s="63"/>
    </row>
    <row r="110" spans="1:6" x14ac:dyDescent="0.2">
      <c r="A110" s="388" t="s">
        <v>72</v>
      </c>
      <c r="B110" s="388"/>
      <c r="C110" s="388"/>
      <c r="D110" s="388"/>
      <c r="E110" s="388"/>
      <c r="F110" s="63"/>
    </row>
    <row r="111" spans="1:6" x14ac:dyDescent="0.2">
      <c r="A111" s="64" t="s">
        <v>73</v>
      </c>
      <c r="B111" s="54"/>
      <c r="C111" s="55"/>
      <c r="D111" s="55"/>
      <c r="E111" s="55"/>
      <c r="F111" s="63"/>
    </row>
    <row r="112" spans="1:6" x14ac:dyDescent="0.2">
      <c r="A112" s="53">
        <f>E108</f>
        <v>0</v>
      </c>
      <c r="B112" s="54" t="s">
        <v>74</v>
      </c>
      <c r="C112" s="51">
        <f>計算シート!$BL$11</f>
        <v>6.5</v>
      </c>
      <c r="D112" s="54" t="s">
        <v>70</v>
      </c>
      <c r="E112" s="52">
        <f>A112*C112/100</f>
        <v>0</v>
      </c>
      <c r="F112" s="63"/>
    </row>
    <row r="113" spans="1:6" x14ac:dyDescent="0.2">
      <c r="A113" s="62" t="s">
        <v>48</v>
      </c>
      <c r="B113" s="54"/>
      <c r="C113" s="54"/>
      <c r="D113" s="55"/>
      <c r="E113" s="55"/>
      <c r="F113" s="63"/>
    </row>
    <row r="114" spans="1:6" x14ac:dyDescent="0.2">
      <c r="A114" s="52">
        <f>IF(A106="",0,計算シート!$BL$13)</f>
        <v>0</v>
      </c>
      <c r="B114" s="54" t="s">
        <v>74</v>
      </c>
      <c r="C114" s="51">
        <f>IF(計算シート!$X$32=計算シート!$BI$25,0.3,IF(計算シート!$X$32=計算シート!$BI$26,0.5,IF(計算シート!$X$32=計算シート!$BI$27,0.8,1)))</f>
        <v>1</v>
      </c>
      <c r="D114" s="54" t="s">
        <v>70</v>
      </c>
      <c r="E114" s="52">
        <f>A114*C114*F114</f>
        <v>0</v>
      </c>
      <c r="F114" s="63">
        <f>IF(計算シート!EF14&lt;7,0.5,1)</f>
        <v>1</v>
      </c>
    </row>
    <row r="115" spans="1:6" ht="13.5" thickBot="1" x14ac:dyDescent="0.25">
      <c r="A115" s="65"/>
      <c r="B115" s="54"/>
      <c r="C115" s="55"/>
      <c r="D115" s="55"/>
      <c r="E115" s="58"/>
      <c r="F115" s="63"/>
    </row>
    <row r="116" spans="1:6" ht="13.5" thickBot="1" x14ac:dyDescent="0.25">
      <c r="A116" s="65"/>
      <c r="B116" s="54"/>
      <c r="C116" s="55"/>
      <c r="D116" s="55"/>
      <c r="E116" s="57">
        <f>E112+E114</f>
        <v>0</v>
      </c>
      <c r="F116" s="63"/>
    </row>
    <row r="117" spans="1:6" x14ac:dyDescent="0.2">
      <c r="A117" s="388" t="s">
        <v>75</v>
      </c>
      <c r="B117" s="388"/>
      <c r="C117" s="388"/>
      <c r="D117" s="388"/>
      <c r="E117" s="389"/>
      <c r="F117" s="63"/>
    </row>
    <row r="118" spans="1:6" x14ac:dyDescent="0.2">
      <c r="A118" s="64" t="s">
        <v>73</v>
      </c>
      <c r="B118" s="54"/>
      <c r="C118" s="55"/>
      <c r="D118" s="55"/>
      <c r="E118" s="55"/>
      <c r="F118" s="63"/>
    </row>
    <row r="119" spans="1:6" x14ac:dyDescent="0.2">
      <c r="A119" s="53">
        <f>E108</f>
        <v>0</v>
      </c>
      <c r="B119" s="54" t="s">
        <v>74</v>
      </c>
      <c r="C119" s="51">
        <f>計算シート!$BO$11</f>
        <v>2.5</v>
      </c>
      <c r="D119" s="54" t="s">
        <v>70</v>
      </c>
      <c r="E119" s="52">
        <f>A119*C119/100</f>
        <v>0</v>
      </c>
      <c r="F119" s="63"/>
    </row>
    <row r="120" spans="1:6" x14ac:dyDescent="0.2">
      <c r="A120" s="62" t="s">
        <v>48</v>
      </c>
      <c r="B120" s="54"/>
      <c r="C120" s="54"/>
      <c r="D120" s="55"/>
      <c r="E120" s="55"/>
      <c r="F120" s="63"/>
    </row>
    <row r="121" spans="1:6" x14ac:dyDescent="0.2">
      <c r="A121" s="52">
        <f>IF(A106="",0,計算シート!$BO$13)</f>
        <v>0</v>
      </c>
      <c r="B121" s="54" t="s">
        <v>74</v>
      </c>
      <c r="C121" s="51">
        <f>IF(計算シート!$X$32=計算シート!$BI$25,0.3,IF(計算シート!$X$32=計算シート!$BI$26,0.5,IF(計算シート!$X$32=計算シート!$BI$27,0.8,1)))</f>
        <v>1</v>
      </c>
      <c r="D121" s="54" t="s">
        <v>70</v>
      </c>
      <c r="E121" s="52">
        <f>A121*C121*F121</f>
        <v>0</v>
      </c>
      <c r="F121" s="63">
        <f>F114</f>
        <v>1</v>
      </c>
    </row>
    <row r="122" spans="1:6" ht="13.5" thickBot="1" x14ac:dyDescent="0.25">
      <c r="A122" s="65"/>
      <c r="B122" s="54"/>
      <c r="C122" s="55"/>
      <c r="D122" s="55"/>
      <c r="E122" s="58"/>
      <c r="F122" s="63"/>
    </row>
    <row r="123" spans="1:6" ht="13.5" thickBot="1" x14ac:dyDescent="0.25">
      <c r="A123" s="65"/>
      <c r="B123" s="54"/>
      <c r="C123" s="55"/>
      <c r="D123" s="55"/>
      <c r="E123" s="57">
        <f>E119+E121</f>
        <v>0</v>
      </c>
      <c r="F123" s="63"/>
    </row>
    <row r="124" spans="1:6" x14ac:dyDescent="0.2">
      <c r="A124" s="388" t="s">
        <v>76</v>
      </c>
      <c r="B124" s="388"/>
      <c r="C124" s="388"/>
      <c r="D124" s="388"/>
      <c r="E124" s="389"/>
      <c r="F124" s="63"/>
    </row>
    <row r="125" spans="1:6" x14ac:dyDescent="0.2">
      <c r="A125" s="64" t="s">
        <v>73</v>
      </c>
      <c r="B125" s="54"/>
      <c r="C125" s="55"/>
      <c r="D125" s="55"/>
      <c r="E125" s="55"/>
      <c r="F125" s="63"/>
    </row>
    <row r="126" spans="1:6" x14ac:dyDescent="0.2">
      <c r="A126" s="53">
        <f>E108</f>
        <v>0</v>
      </c>
      <c r="B126" s="54" t="s">
        <v>74</v>
      </c>
      <c r="C126" s="56">
        <f>計算シート!$BR$11</f>
        <v>1.78</v>
      </c>
      <c r="D126" s="54" t="s">
        <v>70</v>
      </c>
      <c r="E126" s="52">
        <f>A126*C126/100</f>
        <v>0</v>
      </c>
      <c r="F126" s="63"/>
    </row>
    <row r="127" spans="1:6" x14ac:dyDescent="0.2">
      <c r="A127" s="62" t="s">
        <v>48</v>
      </c>
      <c r="B127" s="54"/>
      <c r="C127" s="54"/>
      <c r="D127" s="55"/>
      <c r="E127" s="55"/>
      <c r="F127" s="63"/>
    </row>
    <row r="128" spans="1:6" x14ac:dyDescent="0.2">
      <c r="A128" s="52">
        <f>IF(A106="",0,計算シート!$BR$13)</f>
        <v>0</v>
      </c>
      <c r="B128" s="54" t="s">
        <v>74</v>
      </c>
      <c r="C128" s="51">
        <f>IF(計算シート!$X$32=計算シート!$BI$25,0.3,IF(計算シート!$X$32=計算シート!$BI$26,0.5,IF(計算シート!$X$32=計算シート!$BI$27,0.8,1)))</f>
        <v>1</v>
      </c>
      <c r="D128" s="54" t="s">
        <v>70</v>
      </c>
      <c r="E128" s="52">
        <f>A128*C128</f>
        <v>0</v>
      </c>
      <c r="F128" s="63"/>
    </row>
    <row r="129" spans="1:6" ht="13.5" thickBot="1" x14ac:dyDescent="0.25">
      <c r="A129" s="64"/>
      <c r="B129" s="54"/>
      <c r="C129" s="55"/>
      <c r="D129" s="55"/>
      <c r="E129" s="58"/>
      <c r="F129" s="63"/>
    </row>
    <row r="130" spans="1:6" ht="13.5" thickBot="1" x14ac:dyDescent="0.25">
      <c r="A130" s="64"/>
      <c r="B130" s="390" t="s">
        <v>78</v>
      </c>
      <c r="C130" s="390"/>
      <c r="D130" s="391"/>
      <c r="E130" s="57">
        <f>IF(計算シート!BC14="【介護該当】",E126+E128,0)</f>
        <v>0</v>
      </c>
      <c r="F130" s="63"/>
    </row>
    <row r="131" spans="1:6" x14ac:dyDescent="0.2">
      <c r="A131" s="388" t="s">
        <v>197</v>
      </c>
      <c r="B131" s="388"/>
      <c r="C131" s="388"/>
      <c r="D131" s="388"/>
      <c r="E131" s="389"/>
      <c r="F131" s="63"/>
    </row>
    <row r="132" spans="1:6" x14ac:dyDescent="0.2">
      <c r="A132" s="64" t="s">
        <v>198</v>
      </c>
      <c r="B132" s="170"/>
      <c r="C132" s="170"/>
      <c r="D132" s="170"/>
      <c r="E132" s="58"/>
      <c r="F132" s="63"/>
    </row>
    <row r="133" spans="1:6" x14ac:dyDescent="0.2">
      <c r="A133" s="53">
        <f>E108</f>
        <v>0</v>
      </c>
      <c r="B133" s="170" t="s">
        <v>74</v>
      </c>
      <c r="C133" s="71">
        <f>計算シート!$BU$11</f>
        <v>0.21</v>
      </c>
      <c r="D133" s="170" t="s">
        <v>70</v>
      </c>
      <c r="E133" s="53">
        <f>A133*C133/100</f>
        <v>0</v>
      </c>
      <c r="F133" s="63"/>
    </row>
    <row r="134" spans="1:6" x14ac:dyDescent="0.2">
      <c r="A134" s="64" t="s">
        <v>199</v>
      </c>
      <c r="B134" s="170"/>
      <c r="C134" s="170"/>
      <c r="D134" s="55"/>
      <c r="E134" s="58"/>
      <c r="F134" s="63"/>
    </row>
    <row r="135" spans="1:6" x14ac:dyDescent="0.2">
      <c r="A135" s="51">
        <f>IF(A106="",0,計算シート!$BU$13)</f>
        <v>0</v>
      </c>
      <c r="B135" s="170" t="s">
        <v>74</v>
      </c>
      <c r="C135" s="71">
        <f>IF(計算シート!$X$32=計算シート!$BI$25,0.3,IF(計算シート!$X$32=計算シート!$BI$26,0.5,IF(計算シート!$X$32=計算シート!$BI$27,0.8,1)))</f>
        <v>1</v>
      </c>
      <c r="D135" s="170" t="s">
        <v>70</v>
      </c>
      <c r="E135" s="53">
        <f>A135*C135*F135</f>
        <v>0</v>
      </c>
      <c r="F135" s="63">
        <f>F114</f>
        <v>1</v>
      </c>
    </row>
    <row r="136" spans="1:6" x14ac:dyDescent="0.2">
      <c r="A136" s="64" t="s">
        <v>219</v>
      </c>
      <c r="B136" s="188"/>
      <c r="C136" s="188"/>
      <c r="D136" s="188"/>
      <c r="E136" s="58"/>
      <c r="F136" s="63"/>
    </row>
    <row r="137" spans="1:6" x14ac:dyDescent="0.2">
      <c r="A137" s="51">
        <f>IF(A106="",0,計算シート!$BU$15)</f>
        <v>0</v>
      </c>
      <c r="B137" s="188" t="s">
        <v>74</v>
      </c>
      <c r="C137" s="71">
        <f>IF(計算シート!$X$32=計算シート!$BI$25,0.3,IF(計算シート!$X$32=計算シート!$BI$26,0.5,IF(計算シート!$X$32=計算シート!$BI$27,0.8,1)))</f>
        <v>1</v>
      </c>
      <c r="D137" s="188" t="s">
        <v>70</v>
      </c>
      <c r="E137" s="53">
        <f>A137*C137*F137</f>
        <v>0</v>
      </c>
      <c r="F137" s="63">
        <f>F114</f>
        <v>1</v>
      </c>
    </row>
    <row r="138" spans="1:6" ht="13.5" thickBot="1" x14ac:dyDescent="0.25">
      <c r="A138" s="64"/>
      <c r="B138" s="170"/>
      <c r="C138" s="170"/>
      <c r="D138" s="170"/>
      <c r="E138" s="58"/>
      <c r="F138" s="63"/>
    </row>
    <row r="139" spans="1:6" ht="13.5" thickBot="1" x14ac:dyDescent="0.25">
      <c r="A139" s="64"/>
      <c r="B139" s="170"/>
      <c r="C139" s="170" t="s">
        <v>210</v>
      </c>
      <c r="D139" s="170"/>
      <c r="E139" s="57">
        <f>IF(計算シート!$BC$14="【未成年該当】",0,E133+E135+E137)</f>
        <v>0</v>
      </c>
      <c r="F139" s="63"/>
    </row>
    <row r="140" spans="1:6" x14ac:dyDescent="0.2">
      <c r="A140" s="66"/>
      <c r="B140" s="67"/>
      <c r="C140" s="68"/>
      <c r="D140" s="68"/>
      <c r="E140" s="68"/>
      <c r="F140" s="69"/>
    </row>
    <row r="141" spans="1:6" x14ac:dyDescent="0.2">
      <c r="A141" s="70" t="str">
        <f>計算シート!B15</f>
        <v/>
      </c>
      <c r="B141" s="59"/>
      <c r="C141" s="60"/>
      <c r="D141" s="60"/>
      <c r="E141" s="60"/>
      <c r="F141" s="61"/>
    </row>
    <row r="142" spans="1:6" x14ac:dyDescent="0.2">
      <c r="A142" s="62" t="s">
        <v>14</v>
      </c>
      <c r="B142" s="54"/>
      <c r="C142" s="54" t="s">
        <v>69</v>
      </c>
      <c r="D142" s="55"/>
      <c r="E142" s="54" t="s">
        <v>71</v>
      </c>
      <c r="F142" s="63"/>
    </row>
    <row r="143" spans="1:6" x14ac:dyDescent="0.2">
      <c r="A143" s="52">
        <f>IF(A141="",0,計算シート!AB15)</f>
        <v>0</v>
      </c>
      <c r="B143" s="54" t="s">
        <v>68</v>
      </c>
      <c r="C143" s="52">
        <v>430000</v>
      </c>
      <c r="D143" s="54" t="s">
        <v>70</v>
      </c>
      <c r="E143" s="52">
        <f>IF((A143-C143)&lt;0,0,A143-C143)</f>
        <v>0</v>
      </c>
      <c r="F143" s="63"/>
    </row>
    <row r="144" spans="1:6" x14ac:dyDescent="0.2">
      <c r="A144" s="64"/>
      <c r="B144" s="54"/>
      <c r="C144" s="55"/>
      <c r="D144" s="55"/>
      <c r="E144" s="55"/>
      <c r="F144" s="63"/>
    </row>
    <row r="145" spans="1:6" x14ac:dyDescent="0.2">
      <c r="A145" s="388" t="s">
        <v>72</v>
      </c>
      <c r="B145" s="388"/>
      <c r="C145" s="388"/>
      <c r="D145" s="388"/>
      <c r="E145" s="388"/>
      <c r="F145" s="63"/>
    </row>
    <row r="146" spans="1:6" x14ac:dyDescent="0.2">
      <c r="A146" s="64" t="s">
        <v>73</v>
      </c>
      <c r="B146" s="54"/>
      <c r="C146" s="55"/>
      <c r="D146" s="55"/>
      <c r="E146" s="55"/>
      <c r="F146" s="63"/>
    </row>
    <row r="147" spans="1:6" x14ac:dyDescent="0.2">
      <c r="A147" s="53">
        <f>E143</f>
        <v>0</v>
      </c>
      <c r="B147" s="54" t="s">
        <v>74</v>
      </c>
      <c r="C147" s="51">
        <f>計算シート!$BL$11</f>
        <v>6.5</v>
      </c>
      <c r="D147" s="54" t="s">
        <v>70</v>
      </c>
      <c r="E147" s="52">
        <f>A147*C147/100</f>
        <v>0</v>
      </c>
      <c r="F147" s="63"/>
    </row>
    <row r="148" spans="1:6" x14ac:dyDescent="0.2">
      <c r="A148" s="62" t="s">
        <v>48</v>
      </c>
      <c r="B148" s="54"/>
      <c r="C148" s="54"/>
      <c r="D148" s="55"/>
      <c r="E148" s="55"/>
      <c r="F148" s="63"/>
    </row>
    <row r="149" spans="1:6" x14ac:dyDescent="0.2">
      <c r="A149" s="52">
        <f>IF(A141="",0,計算シート!$BL$13)</f>
        <v>0</v>
      </c>
      <c r="B149" s="54" t="s">
        <v>74</v>
      </c>
      <c r="C149" s="51">
        <f>IF(計算シート!$X$32=計算シート!$BI$25,0.3,IF(計算シート!$X$32=計算シート!$BI$26,0.5,IF(計算シート!$X$32=計算シート!$BI$27,0.8,1)))</f>
        <v>1</v>
      </c>
      <c r="D149" s="54" t="s">
        <v>70</v>
      </c>
      <c r="E149" s="52">
        <f>A149*C149*F149</f>
        <v>0</v>
      </c>
      <c r="F149" s="63">
        <f>IF(計算シート!EF15&lt;7,0.5,1)</f>
        <v>1</v>
      </c>
    </row>
    <row r="150" spans="1:6" ht="13.5" thickBot="1" x14ac:dyDescent="0.25">
      <c r="A150" s="65"/>
      <c r="B150" s="54"/>
      <c r="C150" s="55"/>
      <c r="D150" s="55"/>
      <c r="E150" s="58"/>
      <c r="F150" s="63"/>
    </row>
    <row r="151" spans="1:6" ht="13.5" thickBot="1" x14ac:dyDescent="0.25">
      <c r="A151" s="65"/>
      <c r="B151" s="54"/>
      <c r="C151" s="55"/>
      <c r="D151" s="55"/>
      <c r="E151" s="57">
        <f>E147+E149</f>
        <v>0</v>
      </c>
      <c r="F151" s="63"/>
    </row>
    <row r="152" spans="1:6" x14ac:dyDescent="0.2">
      <c r="A152" s="388" t="s">
        <v>75</v>
      </c>
      <c r="B152" s="388"/>
      <c r="C152" s="388"/>
      <c r="D152" s="388"/>
      <c r="E152" s="389"/>
      <c r="F152" s="63"/>
    </row>
    <row r="153" spans="1:6" x14ac:dyDescent="0.2">
      <c r="A153" s="64" t="s">
        <v>73</v>
      </c>
      <c r="B153" s="54"/>
      <c r="C153" s="55"/>
      <c r="D153" s="55"/>
      <c r="E153" s="55"/>
      <c r="F153" s="63"/>
    </row>
    <row r="154" spans="1:6" x14ac:dyDescent="0.2">
      <c r="A154" s="53">
        <f>E143</f>
        <v>0</v>
      </c>
      <c r="B154" s="54" t="s">
        <v>74</v>
      </c>
      <c r="C154" s="51">
        <f>計算シート!$BO$11</f>
        <v>2.5</v>
      </c>
      <c r="D154" s="54" t="s">
        <v>70</v>
      </c>
      <c r="E154" s="52">
        <f>A154*C154/100</f>
        <v>0</v>
      </c>
      <c r="F154" s="63"/>
    </row>
    <row r="155" spans="1:6" x14ac:dyDescent="0.2">
      <c r="A155" s="62" t="s">
        <v>48</v>
      </c>
      <c r="B155" s="54"/>
      <c r="C155" s="54"/>
      <c r="D155" s="55"/>
      <c r="E155" s="55"/>
      <c r="F155" s="63"/>
    </row>
    <row r="156" spans="1:6" x14ac:dyDescent="0.2">
      <c r="A156" s="52">
        <f>IF(A141="",0,計算シート!$BO$13)</f>
        <v>0</v>
      </c>
      <c r="B156" s="54" t="s">
        <v>74</v>
      </c>
      <c r="C156" s="51">
        <f>IF(計算シート!$X$32=計算シート!$BI$25,0.3,IF(計算シート!$X$32=計算シート!$BI$26,0.5,IF(計算シート!$X$32=計算シート!$BI$27,0.8,1)))</f>
        <v>1</v>
      </c>
      <c r="D156" s="54" t="s">
        <v>70</v>
      </c>
      <c r="E156" s="52">
        <f>A156*C156*F156</f>
        <v>0</v>
      </c>
      <c r="F156" s="63">
        <f>F149</f>
        <v>1</v>
      </c>
    </row>
    <row r="157" spans="1:6" ht="13.5" thickBot="1" x14ac:dyDescent="0.25">
      <c r="A157" s="65"/>
      <c r="B157" s="54"/>
      <c r="C157" s="55"/>
      <c r="D157" s="55"/>
      <c r="E157" s="58"/>
      <c r="F157" s="63"/>
    </row>
    <row r="158" spans="1:6" ht="13.5" thickBot="1" x14ac:dyDescent="0.25">
      <c r="A158" s="65"/>
      <c r="B158" s="54"/>
      <c r="C158" s="55"/>
      <c r="D158" s="55"/>
      <c r="E158" s="57">
        <f>E154+E156</f>
        <v>0</v>
      </c>
      <c r="F158" s="63"/>
    </row>
    <row r="159" spans="1:6" x14ac:dyDescent="0.2">
      <c r="A159" s="388" t="s">
        <v>76</v>
      </c>
      <c r="B159" s="388"/>
      <c r="C159" s="388"/>
      <c r="D159" s="388"/>
      <c r="E159" s="389"/>
      <c r="F159" s="63"/>
    </row>
    <row r="160" spans="1:6" x14ac:dyDescent="0.2">
      <c r="A160" s="64" t="s">
        <v>73</v>
      </c>
      <c r="B160" s="54"/>
      <c r="C160" s="55"/>
      <c r="D160" s="55"/>
      <c r="E160" s="55"/>
      <c r="F160" s="63"/>
    </row>
    <row r="161" spans="1:6" x14ac:dyDescent="0.2">
      <c r="A161" s="53">
        <f>E143</f>
        <v>0</v>
      </c>
      <c r="B161" s="54" t="s">
        <v>74</v>
      </c>
      <c r="C161" s="56">
        <f>計算シート!$BR$11</f>
        <v>1.78</v>
      </c>
      <c r="D161" s="54" t="s">
        <v>70</v>
      </c>
      <c r="E161" s="52">
        <f>A161*C161/100</f>
        <v>0</v>
      </c>
      <c r="F161" s="63"/>
    </row>
    <row r="162" spans="1:6" x14ac:dyDescent="0.2">
      <c r="A162" s="62" t="s">
        <v>48</v>
      </c>
      <c r="B162" s="54"/>
      <c r="C162" s="54"/>
      <c r="D162" s="55"/>
      <c r="E162" s="55"/>
      <c r="F162" s="63"/>
    </row>
    <row r="163" spans="1:6" x14ac:dyDescent="0.2">
      <c r="A163" s="52">
        <f>IF(A141="",0,計算シート!$BR$13)</f>
        <v>0</v>
      </c>
      <c r="B163" s="54" t="s">
        <v>74</v>
      </c>
      <c r="C163" s="51">
        <f>IF(計算シート!$X$32=計算シート!$BI$25,0.3,IF(計算シート!$X$32=計算シート!$BI$26,0.5,IF(計算シート!$X$32=計算シート!$BI$27,0.8,1)))</f>
        <v>1</v>
      </c>
      <c r="D163" s="54" t="s">
        <v>70</v>
      </c>
      <c r="E163" s="52">
        <f>A163*C163</f>
        <v>0</v>
      </c>
      <c r="F163" s="63"/>
    </row>
    <row r="164" spans="1:6" ht="13.5" thickBot="1" x14ac:dyDescent="0.25">
      <c r="A164" s="64"/>
      <c r="B164" s="54"/>
      <c r="C164" s="55"/>
      <c r="D164" s="55"/>
      <c r="E164" s="58"/>
      <c r="F164" s="63"/>
    </row>
    <row r="165" spans="1:6" ht="13.5" thickBot="1" x14ac:dyDescent="0.25">
      <c r="A165" s="64"/>
      <c r="B165" s="390" t="s">
        <v>78</v>
      </c>
      <c r="C165" s="390"/>
      <c r="D165" s="391"/>
      <c r="E165" s="57">
        <f>IF(計算シート!BC15="【介護該当】",E161+E163,0)</f>
        <v>0</v>
      </c>
      <c r="F165" s="63"/>
    </row>
    <row r="166" spans="1:6" x14ac:dyDescent="0.2">
      <c r="A166" s="388" t="s">
        <v>197</v>
      </c>
      <c r="B166" s="388"/>
      <c r="C166" s="388"/>
      <c r="D166" s="388"/>
      <c r="E166" s="389"/>
      <c r="F166" s="63"/>
    </row>
    <row r="167" spans="1:6" x14ac:dyDescent="0.2">
      <c r="A167" s="64" t="s">
        <v>198</v>
      </c>
      <c r="B167" s="170"/>
      <c r="C167" s="170"/>
      <c r="D167" s="170"/>
      <c r="E167" s="58"/>
      <c r="F167" s="63"/>
    </row>
    <row r="168" spans="1:6" x14ac:dyDescent="0.2">
      <c r="A168" s="53">
        <f>E143</f>
        <v>0</v>
      </c>
      <c r="B168" s="170" t="s">
        <v>74</v>
      </c>
      <c r="C168" s="71">
        <f>計算シート!$BU$11</f>
        <v>0.21</v>
      </c>
      <c r="D168" s="170" t="s">
        <v>70</v>
      </c>
      <c r="E168" s="53">
        <f>A168*C168/100</f>
        <v>0</v>
      </c>
      <c r="F168" s="63"/>
    </row>
    <row r="169" spans="1:6" x14ac:dyDescent="0.2">
      <c r="A169" s="64" t="s">
        <v>199</v>
      </c>
      <c r="B169" s="170"/>
      <c r="C169" s="170"/>
      <c r="D169" s="55"/>
      <c r="E169" s="58"/>
      <c r="F169" s="63"/>
    </row>
    <row r="170" spans="1:6" x14ac:dyDescent="0.2">
      <c r="A170" s="51">
        <f>IF(A141="",0,計算シート!$BU$13)</f>
        <v>0</v>
      </c>
      <c r="B170" s="170" t="s">
        <v>74</v>
      </c>
      <c r="C170" s="71">
        <f>IF(計算シート!$X$32=計算シート!$BI$25,0.3,IF(計算シート!$X$32=計算シート!$BI$26,0.5,IF(計算シート!$X$32=計算シート!$BI$27,0.8,1)))</f>
        <v>1</v>
      </c>
      <c r="D170" s="170" t="s">
        <v>70</v>
      </c>
      <c r="E170" s="53">
        <f>A170*C170*F170</f>
        <v>0</v>
      </c>
      <c r="F170" s="63">
        <f>F149</f>
        <v>1</v>
      </c>
    </row>
    <row r="171" spans="1:6" x14ac:dyDescent="0.2">
      <c r="A171" s="64" t="s">
        <v>219</v>
      </c>
      <c r="B171" s="188"/>
      <c r="C171" s="188"/>
      <c r="D171" s="188"/>
      <c r="E171" s="58"/>
      <c r="F171" s="63"/>
    </row>
    <row r="172" spans="1:6" x14ac:dyDescent="0.2">
      <c r="A172" s="51">
        <f>IF(A141="",0,計算シート!$BU$15)</f>
        <v>0</v>
      </c>
      <c r="B172" s="188" t="s">
        <v>74</v>
      </c>
      <c r="C172" s="71">
        <f>IF(計算シート!$X$32=計算シート!$BI$25,0.3,IF(計算シート!$X$32=計算シート!$BI$26,0.5,IF(計算シート!$X$32=計算シート!$BI$27,0.8,1)))</f>
        <v>1</v>
      </c>
      <c r="D172" s="188" t="s">
        <v>70</v>
      </c>
      <c r="E172" s="53">
        <f>A172*C172*F172</f>
        <v>0</v>
      </c>
      <c r="F172" s="63">
        <f>F149</f>
        <v>1</v>
      </c>
    </row>
    <row r="173" spans="1:6" ht="13.5" thickBot="1" x14ac:dyDescent="0.25">
      <c r="A173" s="64"/>
      <c r="B173" s="170"/>
      <c r="C173" s="170"/>
      <c r="D173" s="170"/>
      <c r="E173" s="58"/>
      <c r="F173" s="63"/>
    </row>
    <row r="174" spans="1:6" ht="13.5" thickBot="1" x14ac:dyDescent="0.25">
      <c r="A174" s="64"/>
      <c r="B174" s="170"/>
      <c r="C174" s="170" t="s">
        <v>210</v>
      </c>
      <c r="D174" s="170"/>
      <c r="E174" s="57">
        <f>IF(計算シート!$BC$15="【未成年該当】",0,E168+E170+E172)</f>
        <v>0</v>
      </c>
      <c r="F174" s="63"/>
    </row>
    <row r="175" spans="1:6" x14ac:dyDescent="0.2">
      <c r="A175" s="66"/>
      <c r="B175" s="67"/>
      <c r="C175" s="68"/>
      <c r="D175" s="68"/>
      <c r="E175" s="68"/>
      <c r="F175" s="69"/>
    </row>
    <row r="176" spans="1:6" x14ac:dyDescent="0.2">
      <c r="A176" s="70" t="str">
        <f>計算シート!B16</f>
        <v/>
      </c>
      <c r="B176" s="59"/>
      <c r="C176" s="60"/>
      <c r="D176" s="60"/>
      <c r="E176" s="60"/>
      <c r="F176" s="61"/>
    </row>
    <row r="177" spans="1:6" x14ac:dyDescent="0.2">
      <c r="A177" s="62" t="s">
        <v>14</v>
      </c>
      <c r="B177" s="54"/>
      <c r="C177" s="54" t="s">
        <v>69</v>
      </c>
      <c r="D177" s="55"/>
      <c r="E177" s="54" t="s">
        <v>71</v>
      </c>
      <c r="F177" s="63"/>
    </row>
    <row r="178" spans="1:6" x14ac:dyDescent="0.2">
      <c r="A178" s="52">
        <f>IF(A176="",0,計算シート!AB16)</f>
        <v>0</v>
      </c>
      <c r="B178" s="54" t="s">
        <v>68</v>
      </c>
      <c r="C178" s="52">
        <v>430000</v>
      </c>
      <c r="D178" s="54" t="s">
        <v>70</v>
      </c>
      <c r="E178" s="52">
        <f>IF((A178-C178)&lt;0,0,A178-C178)</f>
        <v>0</v>
      </c>
      <c r="F178" s="63"/>
    </row>
    <row r="179" spans="1:6" x14ac:dyDescent="0.2">
      <c r="A179" s="64"/>
      <c r="B179" s="54"/>
      <c r="C179" s="55"/>
      <c r="D179" s="55"/>
      <c r="E179" s="55"/>
      <c r="F179" s="63"/>
    </row>
    <row r="180" spans="1:6" x14ac:dyDescent="0.2">
      <c r="A180" s="388" t="s">
        <v>72</v>
      </c>
      <c r="B180" s="388"/>
      <c r="C180" s="388"/>
      <c r="D180" s="388"/>
      <c r="E180" s="388"/>
      <c r="F180" s="63"/>
    </row>
    <row r="181" spans="1:6" x14ac:dyDescent="0.2">
      <c r="A181" s="64" t="s">
        <v>73</v>
      </c>
      <c r="B181" s="54"/>
      <c r="C181" s="55"/>
      <c r="D181" s="55"/>
      <c r="E181" s="55"/>
      <c r="F181" s="63"/>
    </row>
    <row r="182" spans="1:6" x14ac:dyDescent="0.2">
      <c r="A182" s="53">
        <f>E178</f>
        <v>0</v>
      </c>
      <c r="B182" s="54" t="s">
        <v>74</v>
      </c>
      <c r="C182" s="51">
        <f>計算シート!$BL$11</f>
        <v>6.5</v>
      </c>
      <c r="D182" s="54" t="s">
        <v>70</v>
      </c>
      <c r="E182" s="52">
        <f>A182*C182/100</f>
        <v>0</v>
      </c>
      <c r="F182" s="63"/>
    </row>
    <row r="183" spans="1:6" x14ac:dyDescent="0.2">
      <c r="A183" s="62" t="s">
        <v>48</v>
      </c>
      <c r="B183" s="54"/>
      <c r="C183" s="54"/>
      <c r="D183" s="55"/>
      <c r="E183" s="55"/>
      <c r="F183" s="63"/>
    </row>
    <row r="184" spans="1:6" x14ac:dyDescent="0.2">
      <c r="A184" s="52">
        <f>IF(A176="",0,計算シート!$BL$13)</f>
        <v>0</v>
      </c>
      <c r="B184" s="54" t="s">
        <v>74</v>
      </c>
      <c r="C184" s="51">
        <f>IF(計算シート!$X$32=計算シート!$BI$25,0.3,IF(計算シート!$X$32=計算シート!$BI$26,0.5,IF(計算シート!$X$32=計算シート!$BI$27,0.8,1)))</f>
        <v>1</v>
      </c>
      <c r="D184" s="54" t="s">
        <v>70</v>
      </c>
      <c r="E184" s="52">
        <f>A184*C184*F184</f>
        <v>0</v>
      </c>
      <c r="F184" s="63">
        <f>IF(計算シート!EF16&lt;7,0.5,1)</f>
        <v>1</v>
      </c>
    </row>
    <row r="185" spans="1:6" ht="13.5" thickBot="1" x14ac:dyDescent="0.25">
      <c r="A185" s="65"/>
      <c r="B185" s="54"/>
      <c r="C185" s="55"/>
      <c r="D185" s="55"/>
      <c r="E185" s="58"/>
      <c r="F185" s="63"/>
    </row>
    <row r="186" spans="1:6" ht="13.5" thickBot="1" x14ac:dyDescent="0.25">
      <c r="A186" s="65"/>
      <c r="B186" s="54"/>
      <c r="C186" s="55"/>
      <c r="D186" s="55"/>
      <c r="E186" s="57">
        <f>E182+E184</f>
        <v>0</v>
      </c>
      <c r="F186" s="63"/>
    </row>
    <row r="187" spans="1:6" x14ac:dyDescent="0.2">
      <c r="A187" s="388" t="s">
        <v>75</v>
      </c>
      <c r="B187" s="388"/>
      <c r="C187" s="388"/>
      <c r="D187" s="388"/>
      <c r="E187" s="389"/>
      <c r="F187" s="63"/>
    </row>
    <row r="188" spans="1:6" x14ac:dyDescent="0.2">
      <c r="A188" s="64" t="s">
        <v>73</v>
      </c>
      <c r="B188" s="54"/>
      <c r="C188" s="55"/>
      <c r="D188" s="55"/>
      <c r="E188" s="55"/>
      <c r="F188" s="63"/>
    </row>
    <row r="189" spans="1:6" x14ac:dyDescent="0.2">
      <c r="A189" s="53">
        <f>E178</f>
        <v>0</v>
      </c>
      <c r="B189" s="54" t="s">
        <v>74</v>
      </c>
      <c r="C189" s="51">
        <f>計算シート!$BO$11</f>
        <v>2.5</v>
      </c>
      <c r="D189" s="54" t="s">
        <v>70</v>
      </c>
      <c r="E189" s="52">
        <f>A189*C189/100</f>
        <v>0</v>
      </c>
      <c r="F189" s="63"/>
    </row>
    <row r="190" spans="1:6" x14ac:dyDescent="0.2">
      <c r="A190" s="62" t="s">
        <v>48</v>
      </c>
      <c r="B190" s="54"/>
      <c r="C190" s="54"/>
      <c r="D190" s="55"/>
      <c r="E190" s="55"/>
      <c r="F190" s="63"/>
    </row>
    <row r="191" spans="1:6" x14ac:dyDescent="0.2">
      <c r="A191" s="52">
        <f>IF(A176="",0,計算シート!$BO$13)</f>
        <v>0</v>
      </c>
      <c r="B191" s="54" t="s">
        <v>74</v>
      </c>
      <c r="C191" s="51">
        <f>IF(計算シート!$X$32=計算シート!$BI$25,0.3,IF(計算シート!$X$32=計算シート!$BI$26,0.5,IF(計算シート!$X$32=計算シート!$BI$27,0.8,1)))</f>
        <v>1</v>
      </c>
      <c r="D191" s="54" t="s">
        <v>70</v>
      </c>
      <c r="E191" s="52">
        <f>A191*C191*F191</f>
        <v>0</v>
      </c>
      <c r="F191" s="63">
        <f>F184</f>
        <v>1</v>
      </c>
    </row>
    <row r="192" spans="1:6" ht="13.5" thickBot="1" x14ac:dyDescent="0.25">
      <c r="A192" s="65"/>
      <c r="B192" s="54"/>
      <c r="C192" s="55"/>
      <c r="D192" s="55"/>
      <c r="E192" s="58"/>
      <c r="F192" s="63"/>
    </row>
    <row r="193" spans="1:6" ht="13.5" thickBot="1" x14ac:dyDescent="0.25">
      <c r="A193" s="65"/>
      <c r="B193" s="54"/>
      <c r="C193" s="55"/>
      <c r="D193" s="55"/>
      <c r="E193" s="57">
        <f>E189+E191</f>
        <v>0</v>
      </c>
      <c r="F193" s="63"/>
    </row>
    <row r="194" spans="1:6" x14ac:dyDescent="0.2">
      <c r="A194" s="388" t="s">
        <v>76</v>
      </c>
      <c r="B194" s="388"/>
      <c r="C194" s="388"/>
      <c r="D194" s="388"/>
      <c r="E194" s="389"/>
      <c r="F194" s="63"/>
    </row>
    <row r="195" spans="1:6" x14ac:dyDescent="0.2">
      <c r="A195" s="64" t="s">
        <v>73</v>
      </c>
      <c r="B195" s="54"/>
      <c r="C195" s="55"/>
      <c r="D195" s="55"/>
      <c r="E195" s="55"/>
      <c r="F195" s="63"/>
    </row>
    <row r="196" spans="1:6" x14ac:dyDescent="0.2">
      <c r="A196" s="53">
        <f>E178</f>
        <v>0</v>
      </c>
      <c r="B196" s="54" t="s">
        <v>74</v>
      </c>
      <c r="C196" s="56">
        <f>計算シート!$BR$11</f>
        <v>1.78</v>
      </c>
      <c r="D196" s="54" t="s">
        <v>70</v>
      </c>
      <c r="E196" s="52">
        <f>A196*C196/100</f>
        <v>0</v>
      </c>
      <c r="F196" s="63"/>
    </row>
    <row r="197" spans="1:6" x14ac:dyDescent="0.2">
      <c r="A197" s="62" t="s">
        <v>48</v>
      </c>
      <c r="B197" s="54"/>
      <c r="C197" s="54"/>
      <c r="D197" s="55"/>
      <c r="E197" s="55"/>
      <c r="F197" s="63"/>
    </row>
    <row r="198" spans="1:6" x14ac:dyDescent="0.2">
      <c r="A198" s="52">
        <f>IF(A176="",0,計算シート!$BR$13)</f>
        <v>0</v>
      </c>
      <c r="B198" s="54" t="s">
        <v>74</v>
      </c>
      <c r="C198" s="51">
        <f>IF(計算シート!$X$32=計算シート!$BI$25,0.3,IF(計算シート!$X$32=計算シート!$BI$26,0.5,IF(計算シート!$X$32=計算シート!$BI$27,0.8,1)))</f>
        <v>1</v>
      </c>
      <c r="D198" s="54" t="s">
        <v>70</v>
      </c>
      <c r="E198" s="52">
        <f>A198*C198</f>
        <v>0</v>
      </c>
      <c r="F198" s="63"/>
    </row>
    <row r="199" spans="1:6" ht="13.5" thickBot="1" x14ac:dyDescent="0.25">
      <c r="A199" s="64"/>
      <c r="B199" s="54"/>
      <c r="C199" s="55"/>
      <c r="D199" s="55"/>
      <c r="E199" s="58"/>
      <c r="F199" s="63"/>
    </row>
    <row r="200" spans="1:6" ht="13.5" thickBot="1" x14ac:dyDescent="0.25">
      <c r="A200" s="64"/>
      <c r="B200" s="390" t="s">
        <v>78</v>
      </c>
      <c r="C200" s="390"/>
      <c r="D200" s="391"/>
      <c r="E200" s="57">
        <f>IF(計算シート!BC16="【介護該当】",E196+E198,0)</f>
        <v>0</v>
      </c>
      <c r="F200" s="63"/>
    </row>
    <row r="201" spans="1:6" x14ac:dyDescent="0.2">
      <c r="A201" s="388" t="s">
        <v>197</v>
      </c>
      <c r="B201" s="388"/>
      <c r="C201" s="388"/>
      <c r="D201" s="388"/>
      <c r="E201" s="389"/>
      <c r="F201" s="63"/>
    </row>
    <row r="202" spans="1:6" x14ac:dyDescent="0.2">
      <c r="A202" s="64" t="s">
        <v>198</v>
      </c>
      <c r="B202" s="170"/>
      <c r="C202" s="170"/>
      <c r="D202" s="170"/>
      <c r="E202" s="58"/>
      <c r="F202" s="63"/>
    </row>
    <row r="203" spans="1:6" x14ac:dyDescent="0.2">
      <c r="A203" s="53">
        <f>E178</f>
        <v>0</v>
      </c>
      <c r="B203" s="170" t="s">
        <v>74</v>
      </c>
      <c r="C203" s="71">
        <f>計算シート!$BU$11</f>
        <v>0.21</v>
      </c>
      <c r="D203" s="170" t="s">
        <v>70</v>
      </c>
      <c r="E203" s="53">
        <f>A203*C203/100</f>
        <v>0</v>
      </c>
      <c r="F203" s="63"/>
    </row>
    <row r="204" spans="1:6" x14ac:dyDescent="0.2">
      <c r="A204" s="64" t="s">
        <v>199</v>
      </c>
      <c r="B204" s="170"/>
      <c r="C204" s="170"/>
      <c r="D204" s="55"/>
      <c r="E204" s="58"/>
      <c r="F204" s="63"/>
    </row>
    <row r="205" spans="1:6" x14ac:dyDescent="0.2">
      <c r="A205" s="51">
        <f>IF(A176="",0,計算シート!$BU$13)</f>
        <v>0</v>
      </c>
      <c r="B205" s="170" t="s">
        <v>74</v>
      </c>
      <c r="C205" s="71">
        <f>IF(計算シート!$X$32=計算シート!$BI$25,0.3,IF(計算シート!$X$32=計算シート!$BI$26,0.5,IF(計算シート!$X$32=計算シート!$BI$27,0.8,1)))</f>
        <v>1</v>
      </c>
      <c r="D205" s="170" t="s">
        <v>70</v>
      </c>
      <c r="E205" s="53">
        <f>A205*C205*F205</f>
        <v>0</v>
      </c>
      <c r="F205" s="63">
        <f>F184</f>
        <v>1</v>
      </c>
    </row>
    <row r="206" spans="1:6" x14ac:dyDescent="0.2">
      <c r="A206" s="64" t="s">
        <v>219</v>
      </c>
      <c r="B206" s="188"/>
      <c r="C206" s="188"/>
      <c r="D206" s="188"/>
      <c r="E206" s="58"/>
      <c r="F206" s="63"/>
    </row>
    <row r="207" spans="1:6" x14ac:dyDescent="0.2">
      <c r="A207" s="51">
        <f>IF(A176="",0,計算シート!$BU$15)</f>
        <v>0</v>
      </c>
      <c r="B207" s="188" t="s">
        <v>74</v>
      </c>
      <c r="C207" s="71">
        <f>IF(計算シート!$X$32=計算シート!$BI$25,0.3,IF(計算シート!$X$32=計算シート!$BI$26,0.5,IF(計算シート!$X$32=計算シート!$BI$27,0.8,1)))</f>
        <v>1</v>
      </c>
      <c r="D207" s="188" t="s">
        <v>70</v>
      </c>
      <c r="E207" s="53">
        <f>A207*C207*F207</f>
        <v>0</v>
      </c>
      <c r="F207" s="63">
        <f>F184</f>
        <v>1</v>
      </c>
    </row>
    <row r="208" spans="1:6" ht="13.5" thickBot="1" x14ac:dyDescent="0.25">
      <c r="A208" s="64"/>
      <c r="B208" s="170"/>
      <c r="C208" s="170"/>
      <c r="D208" s="170"/>
      <c r="E208" s="58"/>
      <c r="F208" s="63"/>
    </row>
    <row r="209" spans="1:6" ht="13.5" thickBot="1" x14ac:dyDescent="0.25">
      <c r="A209" s="64"/>
      <c r="B209" s="170"/>
      <c r="C209" s="170" t="s">
        <v>210</v>
      </c>
      <c r="D209" s="170"/>
      <c r="E209" s="57">
        <f>IF(計算シート!$BC$16="【未成年該当】",0,E203+E205+E207)</f>
        <v>0</v>
      </c>
      <c r="F209" s="63"/>
    </row>
    <row r="210" spans="1:6" x14ac:dyDescent="0.2">
      <c r="A210" s="66"/>
      <c r="B210" s="67"/>
      <c r="C210" s="68"/>
      <c r="D210" s="68"/>
      <c r="E210" s="68"/>
      <c r="F210" s="69"/>
    </row>
    <row r="211" spans="1:6" x14ac:dyDescent="0.2">
      <c r="A211" s="70" t="str">
        <f>計算シート!B17</f>
        <v/>
      </c>
      <c r="B211" s="59"/>
      <c r="C211" s="60"/>
      <c r="D211" s="60"/>
      <c r="E211" s="60"/>
      <c r="F211" s="61"/>
    </row>
    <row r="212" spans="1:6" x14ac:dyDescent="0.2">
      <c r="A212" s="62" t="s">
        <v>14</v>
      </c>
      <c r="B212" s="54"/>
      <c r="C212" s="54" t="s">
        <v>69</v>
      </c>
      <c r="D212" s="55"/>
      <c r="E212" s="54" t="s">
        <v>71</v>
      </c>
      <c r="F212" s="63"/>
    </row>
    <row r="213" spans="1:6" x14ac:dyDescent="0.2">
      <c r="A213" s="52">
        <f>IF(A211="",0,計算シート!AB17)</f>
        <v>0</v>
      </c>
      <c r="B213" s="54" t="s">
        <v>68</v>
      </c>
      <c r="C213" s="52">
        <v>430000</v>
      </c>
      <c r="D213" s="54" t="s">
        <v>70</v>
      </c>
      <c r="E213" s="52">
        <f>IF((A213-C213)&lt;0,0,A213-C213)</f>
        <v>0</v>
      </c>
      <c r="F213" s="63"/>
    </row>
    <row r="214" spans="1:6" x14ac:dyDescent="0.2">
      <c r="A214" s="64"/>
      <c r="B214" s="54"/>
      <c r="C214" s="55"/>
      <c r="D214" s="55"/>
      <c r="E214" s="55"/>
      <c r="F214" s="63"/>
    </row>
    <row r="215" spans="1:6" x14ac:dyDescent="0.2">
      <c r="A215" s="388" t="s">
        <v>72</v>
      </c>
      <c r="B215" s="388"/>
      <c r="C215" s="388"/>
      <c r="D215" s="388"/>
      <c r="E215" s="388"/>
      <c r="F215" s="63"/>
    </row>
    <row r="216" spans="1:6" x14ac:dyDescent="0.2">
      <c r="A216" s="64" t="s">
        <v>73</v>
      </c>
      <c r="B216" s="54"/>
      <c r="C216" s="55"/>
      <c r="D216" s="55"/>
      <c r="E216" s="55"/>
      <c r="F216" s="63"/>
    </row>
    <row r="217" spans="1:6" x14ac:dyDescent="0.2">
      <c r="A217" s="53">
        <f>E213</f>
        <v>0</v>
      </c>
      <c r="B217" s="54" t="s">
        <v>74</v>
      </c>
      <c r="C217" s="51">
        <f>計算シート!$BL$11</f>
        <v>6.5</v>
      </c>
      <c r="D217" s="54" t="s">
        <v>70</v>
      </c>
      <c r="E217" s="52">
        <f>A217*C217/100</f>
        <v>0</v>
      </c>
      <c r="F217" s="63"/>
    </row>
    <row r="218" spans="1:6" x14ac:dyDescent="0.2">
      <c r="A218" s="62" t="s">
        <v>48</v>
      </c>
      <c r="B218" s="54"/>
      <c r="C218" s="54"/>
      <c r="D218" s="55"/>
      <c r="E218" s="55"/>
      <c r="F218" s="63"/>
    </row>
    <row r="219" spans="1:6" x14ac:dyDescent="0.2">
      <c r="A219" s="52">
        <f>IF(A211="",0,計算シート!$BL$13)</f>
        <v>0</v>
      </c>
      <c r="B219" s="54" t="s">
        <v>74</v>
      </c>
      <c r="C219" s="51">
        <f>IF(計算シート!$X$32=計算シート!$BI$25,0.3,IF(計算シート!$X$32=計算シート!$BI$26,0.5,IF(計算シート!$X$32=計算シート!$BI$27,0.8,1)))</f>
        <v>1</v>
      </c>
      <c r="D219" s="54" t="s">
        <v>70</v>
      </c>
      <c r="E219" s="52">
        <f>A219*C219*F219</f>
        <v>0</v>
      </c>
      <c r="F219" s="63">
        <f>IF(計算シート!EF17&lt;7,0.5,1)</f>
        <v>1</v>
      </c>
    </row>
    <row r="220" spans="1:6" ht="13.5" thickBot="1" x14ac:dyDescent="0.25">
      <c r="A220" s="65"/>
      <c r="B220" s="54"/>
      <c r="C220" s="55"/>
      <c r="D220" s="55"/>
      <c r="E220" s="58"/>
      <c r="F220" s="63"/>
    </row>
    <row r="221" spans="1:6" ht="13.5" thickBot="1" x14ac:dyDescent="0.25">
      <c r="A221" s="65"/>
      <c r="B221" s="54"/>
      <c r="C221" s="55"/>
      <c r="D221" s="55"/>
      <c r="E221" s="57">
        <f>E217+E219</f>
        <v>0</v>
      </c>
      <c r="F221" s="63"/>
    </row>
    <row r="222" spans="1:6" x14ac:dyDescent="0.2">
      <c r="A222" s="388" t="s">
        <v>75</v>
      </c>
      <c r="B222" s="388"/>
      <c r="C222" s="388"/>
      <c r="D222" s="388"/>
      <c r="E222" s="389"/>
      <c r="F222" s="63"/>
    </row>
    <row r="223" spans="1:6" x14ac:dyDescent="0.2">
      <c r="A223" s="64" t="s">
        <v>73</v>
      </c>
      <c r="B223" s="54"/>
      <c r="C223" s="55"/>
      <c r="D223" s="55"/>
      <c r="E223" s="55"/>
      <c r="F223" s="63"/>
    </row>
    <row r="224" spans="1:6" x14ac:dyDescent="0.2">
      <c r="A224" s="53">
        <f>E213</f>
        <v>0</v>
      </c>
      <c r="B224" s="54" t="s">
        <v>74</v>
      </c>
      <c r="C224" s="51">
        <f>計算シート!$BO$11</f>
        <v>2.5</v>
      </c>
      <c r="D224" s="54" t="s">
        <v>70</v>
      </c>
      <c r="E224" s="52">
        <f>A224*C224/100</f>
        <v>0</v>
      </c>
      <c r="F224" s="63"/>
    </row>
    <row r="225" spans="1:6" x14ac:dyDescent="0.2">
      <c r="A225" s="62" t="s">
        <v>48</v>
      </c>
      <c r="B225" s="54"/>
      <c r="C225" s="54"/>
      <c r="D225" s="55"/>
      <c r="E225" s="55"/>
      <c r="F225" s="63"/>
    </row>
    <row r="226" spans="1:6" x14ac:dyDescent="0.2">
      <c r="A226" s="52">
        <f>IF(A211="",0,計算シート!$BO$13)</f>
        <v>0</v>
      </c>
      <c r="B226" s="54" t="s">
        <v>74</v>
      </c>
      <c r="C226" s="51">
        <f>IF(計算シート!$X$32=計算シート!$BI$25,0.3,IF(計算シート!$X$32=計算シート!$BI$26,0.5,IF(計算シート!$X$32=計算シート!$BI$27,0.8,1)))</f>
        <v>1</v>
      </c>
      <c r="D226" s="54" t="s">
        <v>70</v>
      </c>
      <c r="E226" s="52">
        <f>A226*C226*F226</f>
        <v>0</v>
      </c>
      <c r="F226" s="63">
        <f>F219</f>
        <v>1</v>
      </c>
    </row>
    <row r="227" spans="1:6" ht="13.5" thickBot="1" x14ac:dyDescent="0.25">
      <c r="A227" s="65"/>
      <c r="B227" s="54"/>
      <c r="C227" s="55"/>
      <c r="D227" s="55"/>
      <c r="E227" s="58"/>
      <c r="F227" s="63"/>
    </row>
    <row r="228" spans="1:6" ht="13.5" thickBot="1" x14ac:dyDescent="0.25">
      <c r="A228" s="65"/>
      <c r="B228" s="54"/>
      <c r="C228" s="55"/>
      <c r="D228" s="55"/>
      <c r="E228" s="57">
        <f>E224+E226</f>
        <v>0</v>
      </c>
      <c r="F228" s="63"/>
    </row>
    <row r="229" spans="1:6" x14ac:dyDescent="0.2">
      <c r="A229" s="388" t="s">
        <v>76</v>
      </c>
      <c r="B229" s="388"/>
      <c r="C229" s="388"/>
      <c r="D229" s="388"/>
      <c r="E229" s="389"/>
      <c r="F229" s="63"/>
    </row>
    <row r="230" spans="1:6" x14ac:dyDescent="0.2">
      <c r="A230" s="64" t="s">
        <v>73</v>
      </c>
      <c r="B230" s="54"/>
      <c r="C230" s="55"/>
      <c r="D230" s="55"/>
      <c r="E230" s="55"/>
      <c r="F230" s="63"/>
    </row>
    <row r="231" spans="1:6" x14ac:dyDescent="0.2">
      <c r="A231" s="53">
        <f>E213</f>
        <v>0</v>
      </c>
      <c r="B231" s="54" t="s">
        <v>74</v>
      </c>
      <c r="C231" s="56">
        <f>計算シート!$BR$11</f>
        <v>1.78</v>
      </c>
      <c r="D231" s="54" t="s">
        <v>70</v>
      </c>
      <c r="E231" s="52">
        <f>A231*C231/100</f>
        <v>0</v>
      </c>
      <c r="F231" s="63"/>
    </row>
    <row r="232" spans="1:6" x14ac:dyDescent="0.2">
      <c r="A232" s="62" t="s">
        <v>48</v>
      </c>
      <c r="B232" s="54"/>
      <c r="C232" s="54"/>
      <c r="D232" s="55"/>
      <c r="E232" s="55"/>
      <c r="F232" s="63"/>
    </row>
    <row r="233" spans="1:6" x14ac:dyDescent="0.2">
      <c r="A233" s="52">
        <f>IF(A211="",0,計算シート!$BR$13)</f>
        <v>0</v>
      </c>
      <c r="B233" s="54" t="s">
        <v>74</v>
      </c>
      <c r="C233" s="51">
        <f>IF(計算シート!$X$32=計算シート!$BI$25,0.3,IF(計算シート!$X$32=計算シート!$BI$26,0.5,IF(計算シート!$X$32=計算シート!$BI$27,0.8,1)))</f>
        <v>1</v>
      </c>
      <c r="D233" s="54" t="s">
        <v>70</v>
      </c>
      <c r="E233" s="52">
        <f>A233*C233</f>
        <v>0</v>
      </c>
      <c r="F233" s="63"/>
    </row>
    <row r="234" spans="1:6" ht="13.5" thickBot="1" x14ac:dyDescent="0.25">
      <c r="A234" s="64"/>
      <c r="B234" s="54"/>
      <c r="C234" s="55"/>
      <c r="D234" s="55"/>
      <c r="E234" s="58"/>
      <c r="F234" s="63"/>
    </row>
    <row r="235" spans="1:6" ht="13.5" thickBot="1" x14ac:dyDescent="0.25">
      <c r="A235" s="64"/>
      <c r="B235" s="390" t="s">
        <v>78</v>
      </c>
      <c r="C235" s="390"/>
      <c r="D235" s="391"/>
      <c r="E235" s="57">
        <f>IF(計算シート!BC17="【介護該当】",E231+E233,0)</f>
        <v>0</v>
      </c>
      <c r="F235" s="63"/>
    </row>
    <row r="236" spans="1:6" x14ac:dyDescent="0.2">
      <c r="A236" s="388" t="s">
        <v>197</v>
      </c>
      <c r="B236" s="388"/>
      <c r="C236" s="388"/>
      <c r="D236" s="388"/>
      <c r="E236" s="389"/>
      <c r="F236" s="63"/>
    </row>
    <row r="237" spans="1:6" x14ac:dyDescent="0.2">
      <c r="A237" s="64" t="s">
        <v>198</v>
      </c>
      <c r="B237" s="170"/>
      <c r="C237" s="170"/>
      <c r="D237" s="170"/>
      <c r="E237" s="58"/>
      <c r="F237" s="63"/>
    </row>
    <row r="238" spans="1:6" x14ac:dyDescent="0.2">
      <c r="A238" s="53">
        <f>E213</f>
        <v>0</v>
      </c>
      <c r="B238" s="170" t="s">
        <v>74</v>
      </c>
      <c r="C238" s="71">
        <f>計算シート!$BU$11</f>
        <v>0.21</v>
      </c>
      <c r="D238" s="170" t="s">
        <v>70</v>
      </c>
      <c r="E238" s="53">
        <f>A238*C238/100</f>
        <v>0</v>
      </c>
      <c r="F238" s="63"/>
    </row>
    <row r="239" spans="1:6" x14ac:dyDescent="0.2">
      <c r="A239" s="64" t="s">
        <v>199</v>
      </c>
      <c r="B239" s="170"/>
      <c r="C239" s="170"/>
      <c r="D239" s="55"/>
      <c r="E239" s="58"/>
      <c r="F239" s="63"/>
    </row>
    <row r="240" spans="1:6" x14ac:dyDescent="0.2">
      <c r="A240" s="51">
        <f>IF(A211="",0,計算シート!$BU$13)</f>
        <v>0</v>
      </c>
      <c r="B240" s="170" t="s">
        <v>74</v>
      </c>
      <c r="C240" s="71">
        <f>IF(計算シート!$X$32=計算シート!$BI$25,0.3,IF(計算シート!$X$32=計算シート!$BI$26,0.5,IF(計算シート!$X$32=計算シート!$BI$27,0.8,1)))</f>
        <v>1</v>
      </c>
      <c r="D240" s="170" t="s">
        <v>70</v>
      </c>
      <c r="E240" s="53">
        <f>A240*C240*F240</f>
        <v>0</v>
      </c>
      <c r="F240" s="63">
        <f>F219</f>
        <v>1</v>
      </c>
    </row>
    <row r="241" spans="1:6" x14ac:dyDescent="0.2">
      <c r="A241" s="64" t="s">
        <v>219</v>
      </c>
      <c r="B241" s="188"/>
      <c r="C241" s="188"/>
      <c r="D241" s="188"/>
      <c r="E241" s="58"/>
      <c r="F241" s="63"/>
    </row>
    <row r="242" spans="1:6" x14ac:dyDescent="0.2">
      <c r="A242" s="51">
        <f>IF(A211="",0,計算シート!$BU$15)</f>
        <v>0</v>
      </c>
      <c r="B242" s="188" t="s">
        <v>74</v>
      </c>
      <c r="C242" s="71">
        <f>IF(計算シート!$X$32=計算シート!$BI$25,0.3,IF(計算シート!$X$32=計算シート!$BI$26,0.5,IF(計算シート!$X$32=計算シート!$BI$27,0.8,1)))</f>
        <v>1</v>
      </c>
      <c r="D242" s="188" t="s">
        <v>70</v>
      </c>
      <c r="E242" s="53">
        <f>A242*C242*F242</f>
        <v>0</v>
      </c>
      <c r="F242" s="63">
        <f>F219</f>
        <v>1</v>
      </c>
    </row>
    <row r="243" spans="1:6" ht="13.5" thickBot="1" x14ac:dyDescent="0.25">
      <c r="A243" s="64"/>
      <c r="B243" s="170"/>
      <c r="C243" s="170"/>
      <c r="D243" s="170"/>
      <c r="E243" s="58"/>
      <c r="F243" s="63"/>
    </row>
    <row r="244" spans="1:6" ht="13.5" thickBot="1" x14ac:dyDescent="0.25">
      <c r="A244" s="64"/>
      <c r="B244" s="170"/>
      <c r="C244" s="170" t="s">
        <v>210</v>
      </c>
      <c r="D244" s="170"/>
      <c r="E244" s="57">
        <f>IF(計算シート!$BC$17="【未成年該当】",0,E238+E240+E242)</f>
        <v>0</v>
      </c>
      <c r="F244" s="63"/>
    </row>
    <row r="245" spans="1:6" x14ac:dyDescent="0.2">
      <c r="A245" s="66"/>
      <c r="B245" s="67"/>
      <c r="C245" s="68"/>
      <c r="D245" s="68"/>
      <c r="E245" s="68"/>
      <c r="F245" s="69"/>
    </row>
    <row r="246" spans="1:6" x14ac:dyDescent="0.2">
      <c r="A246" s="70" t="str">
        <f>計算シート!B18</f>
        <v/>
      </c>
      <c r="B246" s="59"/>
      <c r="C246" s="60"/>
      <c r="D246" s="60"/>
      <c r="E246" s="60"/>
      <c r="F246" s="61"/>
    </row>
    <row r="247" spans="1:6" x14ac:dyDescent="0.2">
      <c r="A247" s="62" t="s">
        <v>14</v>
      </c>
      <c r="B247" s="54"/>
      <c r="C247" s="54" t="s">
        <v>69</v>
      </c>
      <c r="D247" s="55"/>
      <c r="E247" s="54" t="s">
        <v>71</v>
      </c>
      <c r="F247" s="63"/>
    </row>
    <row r="248" spans="1:6" x14ac:dyDescent="0.2">
      <c r="A248" s="52">
        <f>IF(A246="",0,計算シート!AB18)</f>
        <v>0</v>
      </c>
      <c r="B248" s="54" t="s">
        <v>68</v>
      </c>
      <c r="C248" s="52">
        <v>430000</v>
      </c>
      <c r="D248" s="54" t="s">
        <v>70</v>
      </c>
      <c r="E248" s="52">
        <f>IF((A248-C248)&lt;0,0,A248-C248)</f>
        <v>0</v>
      </c>
      <c r="F248" s="63"/>
    </row>
    <row r="249" spans="1:6" x14ac:dyDescent="0.2">
      <c r="A249" s="64"/>
      <c r="B249" s="54"/>
      <c r="C249" s="55"/>
      <c r="D249" s="55"/>
      <c r="E249" s="55"/>
      <c r="F249" s="63"/>
    </row>
    <row r="250" spans="1:6" x14ac:dyDescent="0.2">
      <c r="A250" s="388" t="s">
        <v>72</v>
      </c>
      <c r="B250" s="388"/>
      <c r="C250" s="388"/>
      <c r="D250" s="388"/>
      <c r="E250" s="388"/>
      <c r="F250" s="63"/>
    </row>
    <row r="251" spans="1:6" x14ac:dyDescent="0.2">
      <c r="A251" s="64" t="s">
        <v>73</v>
      </c>
      <c r="B251" s="54"/>
      <c r="C251" s="55"/>
      <c r="D251" s="55"/>
      <c r="E251" s="55"/>
      <c r="F251" s="63"/>
    </row>
    <row r="252" spans="1:6" x14ac:dyDescent="0.2">
      <c r="A252" s="53">
        <f>E248</f>
        <v>0</v>
      </c>
      <c r="B252" s="54" t="s">
        <v>74</v>
      </c>
      <c r="C252" s="51">
        <f>計算シート!$BL$11</f>
        <v>6.5</v>
      </c>
      <c r="D252" s="54" t="s">
        <v>70</v>
      </c>
      <c r="E252" s="52">
        <f>A252*C252/100</f>
        <v>0</v>
      </c>
      <c r="F252" s="63"/>
    </row>
    <row r="253" spans="1:6" x14ac:dyDescent="0.2">
      <c r="A253" s="62" t="s">
        <v>48</v>
      </c>
      <c r="B253" s="54"/>
      <c r="C253" s="54"/>
      <c r="D253" s="55"/>
      <c r="E253" s="55"/>
      <c r="F253" s="63"/>
    </row>
    <row r="254" spans="1:6" x14ac:dyDescent="0.2">
      <c r="A254" s="52">
        <f>IF(A246="",0,計算シート!$BL$13)</f>
        <v>0</v>
      </c>
      <c r="B254" s="54" t="s">
        <v>74</v>
      </c>
      <c r="C254" s="51">
        <f>IF(計算シート!$X$32=計算シート!$BI$25,0.3,IF(計算シート!$X$32=計算シート!$BI$26,0.5,IF(計算シート!$X$32=計算シート!$BI$27,0.8,1)))</f>
        <v>1</v>
      </c>
      <c r="D254" s="54" t="s">
        <v>70</v>
      </c>
      <c r="E254" s="52">
        <f>A254*C254*F254</f>
        <v>0</v>
      </c>
      <c r="F254" s="63">
        <f>IF(計算シート!EF18&lt;7,0.5,1)</f>
        <v>1</v>
      </c>
    </row>
    <row r="255" spans="1:6" ht="13.5" thickBot="1" x14ac:dyDescent="0.25">
      <c r="A255" s="65"/>
      <c r="B255" s="54"/>
      <c r="C255" s="55"/>
      <c r="D255" s="55"/>
      <c r="E255" s="58"/>
      <c r="F255" s="63"/>
    </row>
    <row r="256" spans="1:6" ht="13.5" thickBot="1" x14ac:dyDescent="0.25">
      <c r="A256" s="65"/>
      <c r="B256" s="54"/>
      <c r="C256" s="55"/>
      <c r="D256" s="55"/>
      <c r="E256" s="57">
        <f>E252+E254</f>
        <v>0</v>
      </c>
      <c r="F256" s="63"/>
    </row>
    <row r="257" spans="1:6" x14ac:dyDescent="0.2">
      <c r="A257" s="388" t="s">
        <v>75</v>
      </c>
      <c r="B257" s="388"/>
      <c r="C257" s="388"/>
      <c r="D257" s="388"/>
      <c r="E257" s="389"/>
      <c r="F257" s="63"/>
    </row>
    <row r="258" spans="1:6" x14ac:dyDescent="0.2">
      <c r="A258" s="64" t="s">
        <v>73</v>
      </c>
      <c r="B258" s="54"/>
      <c r="C258" s="55"/>
      <c r="D258" s="55"/>
      <c r="E258" s="55"/>
      <c r="F258" s="63"/>
    </row>
    <row r="259" spans="1:6" x14ac:dyDescent="0.2">
      <c r="A259" s="53">
        <f>E248</f>
        <v>0</v>
      </c>
      <c r="B259" s="54" t="s">
        <v>74</v>
      </c>
      <c r="C259" s="51">
        <f>計算シート!$BO$11</f>
        <v>2.5</v>
      </c>
      <c r="D259" s="54" t="s">
        <v>70</v>
      </c>
      <c r="E259" s="52">
        <f>A259*C259/100</f>
        <v>0</v>
      </c>
      <c r="F259" s="63"/>
    </row>
    <row r="260" spans="1:6" x14ac:dyDescent="0.2">
      <c r="A260" s="62" t="s">
        <v>48</v>
      </c>
      <c r="B260" s="54"/>
      <c r="C260" s="54"/>
      <c r="D260" s="55"/>
      <c r="E260" s="55"/>
      <c r="F260" s="63"/>
    </row>
    <row r="261" spans="1:6" x14ac:dyDescent="0.2">
      <c r="A261" s="52">
        <f>IF(A246="",0,計算シート!$BO$13)</f>
        <v>0</v>
      </c>
      <c r="B261" s="54" t="s">
        <v>74</v>
      </c>
      <c r="C261" s="51">
        <f>IF(計算シート!$X$32=計算シート!$BI$25,0.3,IF(計算シート!$X$32=計算シート!$BI$26,0.5,IF(計算シート!$X$32=計算シート!$BI$27,0.8,1)))</f>
        <v>1</v>
      </c>
      <c r="D261" s="54" t="s">
        <v>70</v>
      </c>
      <c r="E261" s="52">
        <f>A261*C261*F261</f>
        <v>0</v>
      </c>
      <c r="F261" s="63">
        <f>F254</f>
        <v>1</v>
      </c>
    </row>
    <row r="262" spans="1:6" ht="13.5" thickBot="1" x14ac:dyDescent="0.25">
      <c r="A262" s="65"/>
      <c r="B262" s="54"/>
      <c r="C262" s="55"/>
      <c r="D262" s="55"/>
      <c r="E262" s="58"/>
      <c r="F262" s="63"/>
    </row>
    <row r="263" spans="1:6" ht="13.5" thickBot="1" x14ac:dyDescent="0.25">
      <c r="A263" s="65"/>
      <c r="B263" s="54"/>
      <c r="C263" s="55"/>
      <c r="D263" s="55"/>
      <c r="E263" s="57">
        <f>E259+E261</f>
        <v>0</v>
      </c>
      <c r="F263" s="63"/>
    </row>
    <row r="264" spans="1:6" x14ac:dyDescent="0.2">
      <c r="A264" s="388" t="s">
        <v>76</v>
      </c>
      <c r="B264" s="388"/>
      <c r="C264" s="388"/>
      <c r="D264" s="388"/>
      <c r="E264" s="389"/>
      <c r="F264" s="63"/>
    </row>
    <row r="265" spans="1:6" x14ac:dyDescent="0.2">
      <c r="A265" s="64" t="s">
        <v>73</v>
      </c>
      <c r="B265" s="54"/>
      <c r="C265" s="55"/>
      <c r="D265" s="55"/>
      <c r="E265" s="55"/>
      <c r="F265" s="63"/>
    </row>
    <row r="266" spans="1:6" x14ac:dyDescent="0.2">
      <c r="A266" s="53">
        <f>E248</f>
        <v>0</v>
      </c>
      <c r="B266" s="54" t="s">
        <v>74</v>
      </c>
      <c r="C266" s="56">
        <f>計算シート!$BR$11</f>
        <v>1.78</v>
      </c>
      <c r="D266" s="54" t="s">
        <v>70</v>
      </c>
      <c r="E266" s="52">
        <f>A266*C266/100</f>
        <v>0</v>
      </c>
      <c r="F266" s="63"/>
    </row>
    <row r="267" spans="1:6" x14ac:dyDescent="0.2">
      <c r="A267" s="62" t="s">
        <v>48</v>
      </c>
      <c r="B267" s="54"/>
      <c r="C267" s="54"/>
      <c r="D267" s="55"/>
      <c r="E267" s="55"/>
      <c r="F267" s="63"/>
    </row>
    <row r="268" spans="1:6" x14ac:dyDescent="0.2">
      <c r="A268" s="52">
        <f>IF(A246="",0,計算シート!$BR$13)</f>
        <v>0</v>
      </c>
      <c r="B268" s="54" t="s">
        <v>74</v>
      </c>
      <c r="C268" s="51">
        <f>IF(計算シート!$X$32=計算シート!$BI$25,0.3,IF(計算シート!$X$32=計算シート!$BI$26,0.5,IF(計算シート!$X$32=計算シート!$BI$27,0.8,1)))</f>
        <v>1</v>
      </c>
      <c r="D268" s="54" t="s">
        <v>70</v>
      </c>
      <c r="E268" s="52">
        <f>A268*C268</f>
        <v>0</v>
      </c>
      <c r="F268" s="63"/>
    </row>
    <row r="269" spans="1:6" ht="13.5" thickBot="1" x14ac:dyDescent="0.25">
      <c r="A269" s="64"/>
      <c r="B269" s="54"/>
      <c r="C269" s="55"/>
      <c r="D269" s="55"/>
      <c r="E269" s="58"/>
      <c r="F269" s="63"/>
    </row>
    <row r="270" spans="1:6" ht="13.5" thickBot="1" x14ac:dyDescent="0.25">
      <c r="A270" s="64"/>
      <c r="B270" s="390" t="s">
        <v>78</v>
      </c>
      <c r="C270" s="390"/>
      <c r="D270" s="391"/>
      <c r="E270" s="57">
        <f>IF(計算シート!BC18="【介護該当】",E266+E268,0)</f>
        <v>0</v>
      </c>
      <c r="F270" s="63"/>
    </row>
    <row r="271" spans="1:6" x14ac:dyDescent="0.2">
      <c r="A271" s="388" t="s">
        <v>197</v>
      </c>
      <c r="B271" s="388"/>
      <c r="C271" s="388"/>
      <c r="D271" s="388"/>
      <c r="E271" s="389"/>
      <c r="F271" s="63"/>
    </row>
    <row r="272" spans="1:6" x14ac:dyDescent="0.2">
      <c r="A272" s="64" t="s">
        <v>198</v>
      </c>
      <c r="B272" s="170"/>
      <c r="C272" s="170"/>
      <c r="D272" s="170"/>
      <c r="E272" s="58"/>
      <c r="F272" s="63"/>
    </row>
    <row r="273" spans="1:6" x14ac:dyDescent="0.2">
      <c r="A273" s="53">
        <f>E248</f>
        <v>0</v>
      </c>
      <c r="B273" s="170" t="s">
        <v>74</v>
      </c>
      <c r="C273" s="71">
        <f>計算シート!$BU$11</f>
        <v>0.21</v>
      </c>
      <c r="D273" s="170" t="s">
        <v>70</v>
      </c>
      <c r="E273" s="53">
        <f>A273*C273/100</f>
        <v>0</v>
      </c>
      <c r="F273" s="63"/>
    </row>
    <row r="274" spans="1:6" x14ac:dyDescent="0.2">
      <c r="A274" s="64" t="s">
        <v>199</v>
      </c>
      <c r="B274" s="170"/>
      <c r="C274" s="170"/>
      <c r="D274" s="55"/>
      <c r="E274" s="58"/>
      <c r="F274" s="63"/>
    </row>
    <row r="275" spans="1:6" x14ac:dyDescent="0.2">
      <c r="A275" s="51">
        <f>IF(A246="",0,計算シート!$BU$13)</f>
        <v>0</v>
      </c>
      <c r="B275" s="170" t="s">
        <v>74</v>
      </c>
      <c r="C275" s="71">
        <f>IF(計算シート!$X$32=計算シート!$BI$25,0.3,IF(計算シート!$X$32=計算シート!$BI$26,0.5,IF(計算シート!$X$32=計算シート!$BI$27,0.8,1)))</f>
        <v>1</v>
      </c>
      <c r="D275" s="170" t="s">
        <v>70</v>
      </c>
      <c r="E275" s="53">
        <f>A275*C275*F275</f>
        <v>0</v>
      </c>
      <c r="F275" s="63">
        <f>F254</f>
        <v>1</v>
      </c>
    </row>
    <row r="276" spans="1:6" x14ac:dyDescent="0.2">
      <c r="A276" s="64" t="s">
        <v>219</v>
      </c>
      <c r="B276" s="188"/>
      <c r="C276" s="188"/>
      <c r="D276" s="188"/>
      <c r="E276" s="58"/>
      <c r="F276" s="63"/>
    </row>
    <row r="277" spans="1:6" x14ac:dyDescent="0.2">
      <c r="A277" s="51">
        <f>IF(A246="",0,計算シート!$BU$15)</f>
        <v>0</v>
      </c>
      <c r="B277" s="188" t="s">
        <v>74</v>
      </c>
      <c r="C277" s="71">
        <f>IF(計算シート!$X$32=計算シート!$BI$25,0.3,IF(計算シート!$X$32=計算シート!$BI$26,0.5,IF(計算シート!$X$32=計算シート!$BI$27,0.8,1)))</f>
        <v>1</v>
      </c>
      <c r="D277" s="188" t="s">
        <v>70</v>
      </c>
      <c r="E277" s="53">
        <f>A277*C277*F277</f>
        <v>0</v>
      </c>
      <c r="F277" s="63">
        <f>F254</f>
        <v>1</v>
      </c>
    </row>
    <row r="278" spans="1:6" ht="13.5" thickBot="1" x14ac:dyDescent="0.25">
      <c r="A278" s="64"/>
      <c r="B278" s="170"/>
      <c r="C278" s="170"/>
      <c r="D278" s="170"/>
      <c r="E278" s="58"/>
      <c r="F278" s="63"/>
    </row>
    <row r="279" spans="1:6" ht="13.5" thickBot="1" x14ac:dyDescent="0.25">
      <c r="A279" s="64"/>
      <c r="B279" s="170"/>
      <c r="C279" s="170" t="s">
        <v>210</v>
      </c>
      <c r="D279" s="170"/>
      <c r="E279" s="57">
        <f>IF(計算シート!$BC$18="【未成年該当】",0,E273+E275+E277)</f>
        <v>0</v>
      </c>
      <c r="F279" s="63"/>
    </row>
    <row r="280" spans="1:6" x14ac:dyDescent="0.2">
      <c r="A280" s="66"/>
      <c r="B280" s="67"/>
      <c r="C280" s="68"/>
      <c r="D280" s="68"/>
      <c r="E280" s="68"/>
      <c r="F280" s="69"/>
    </row>
    <row r="281" spans="1:6" x14ac:dyDescent="0.2">
      <c r="A281" s="70" t="str">
        <f>計算シート!B19</f>
        <v/>
      </c>
      <c r="B281" s="59"/>
      <c r="C281" s="60"/>
      <c r="D281" s="60"/>
      <c r="E281" s="60"/>
      <c r="F281" s="61"/>
    </row>
    <row r="282" spans="1:6" x14ac:dyDescent="0.2">
      <c r="A282" s="62" t="s">
        <v>14</v>
      </c>
      <c r="B282" s="54"/>
      <c r="C282" s="54" t="s">
        <v>69</v>
      </c>
      <c r="D282" s="55"/>
      <c r="E282" s="54" t="s">
        <v>71</v>
      </c>
      <c r="F282" s="63"/>
    </row>
    <row r="283" spans="1:6" x14ac:dyDescent="0.2">
      <c r="A283" s="52">
        <f>IF(A281="",0,計算シート!AB19)</f>
        <v>0</v>
      </c>
      <c r="B283" s="54" t="s">
        <v>68</v>
      </c>
      <c r="C283" s="52">
        <v>430000</v>
      </c>
      <c r="D283" s="54" t="s">
        <v>70</v>
      </c>
      <c r="E283" s="52">
        <f>IF((A283-C283)&lt;0,0,A283-C283)</f>
        <v>0</v>
      </c>
      <c r="F283" s="63"/>
    </row>
    <row r="284" spans="1:6" x14ac:dyDescent="0.2">
      <c r="A284" s="64"/>
      <c r="B284" s="54"/>
      <c r="C284" s="55"/>
      <c r="D284" s="55"/>
      <c r="E284" s="55"/>
      <c r="F284" s="63"/>
    </row>
    <row r="285" spans="1:6" x14ac:dyDescent="0.2">
      <c r="A285" s="388" t="s">
        <v>72</v>
      </c>
      <c r="B285" s="388"/>
      <c r="C285" s="388"/>
      <c r="D285" s="388"/>
      <c r="E285" s="388"/>
      <c r="F285" s="63"/>
    </row>
    <row r="286" spans="1:6" x14ac:dyDescent="0.2">
      <c r="A286" s="64" t="s">
        <v>73</v>
      </c>
      <c r="B286" s="54"/>
      <c r="C286" s="55"/>
      <c r="D286" s="55"/>
      <c r="E286" s="55"/>
      <c r="F286" s="63"/>
    </row>
    <row r="287" spans="1:6" x14ac:dyDescent="0.2">
      <c r="A287" s="53">
        <f>E283</f>
        <v>0</v>
      </c>
      <c r="B287" s="54" t="s">
        <v>74</v>
      </c>
      <c r="C287" s="51">
        <f>計算シート!$BL$11</f>
        <v>6.5</v>
      </c>
      <c r="D287" s="54" t="s">
        <v>70</v>
      </c>
      <c r="E287" s="52">
        <f>A287*C287/100</f>
        <v>0</v>
      </c>
      <c r="F287" s="63"/>
    </row>
    <row r="288" spans="1:6" x14ac:dyDescent="0.2">
      <c r="A288" s="62" t="s">
        <v>48</v>
      </c>
      <c r="B288" s="54"/>
      <c r="C288" s="54"/>
      <c r="D288" s="55"/>
      <c r="E288" s="55"/>
      <c r="F288" s="63"/>
    </row>
    <row r="289" spans="1:6" x14ac:dyDescent="0.2">
      <c r="A289" s="52">
        <f>IF(A281="",0,計算シート!$BL$13)</f>
        <v>0</v>
      </c>
      <c r="B289" s="54" t="s">
        <v>74</v>
      </c>
      <c r="C289" s="51">
        <f>IF(計算シート!$X$32=計算シート!$BI$25,0.3,IF(計算シート!$X$32=計算シート!$BI$26,0.5,IF(計算シート!$X$32=計算シート!$BI$27,0.8,1)))</f>
        <v>1</v>
      </c>
      <c r="D289" s="54" t="s">
        <v>70</v>
      </c>
      <c r="E289" s="52">
        <f>A289*C289*F289</f>
        <v>0</v>
      </c>
      <c r="F289" s="63">
        <f>IF(計算シート!EF19&lt;7,0.5,1)</f>
        <v>1</v>
      </c>
    </row>
    <row r="290" spans="1:6" ht="13.5" thickBot="1" x14ac:dyDescent="0.25">
      <c r="A290" s="65"/>
      <c r="B290" s="54"/>
      <c r="C290" s="55"/>
      <c r="D290" s="55"/>
      <c r="E290" s="58"/>
      <c r="F290" s="63"/>
    </row>
    <row r="291" spans="1:6" ht="13.5" thickBot="1" x14ac:dyDescent="0.25">
      <c r="A291" s="65"/>
      <c r="B291" s="54"/>
      <c r="C291" s="55"/>
      <c r="D291" s="55"/>
      <c r="E291" s="57">
        <f>E287+E289</f>
        <v>0</v>
      </c>
      <c r="F291" s="63"/>
    </row>
    <row r="292" spans="1:6" x14ac:dyDescent="0.2">
      <c r="A292" s="388" t="s">
        <v>75</v>
      </c>
      <c r="B292" s="388"/>
      <c r="C292" s="388"/>
      <c r="D292" s="388"/>
      <c r="E292" s="389"/>
      <c r="F292" s="63"/>
    </row>
    <row r="293" spans="1:6" x14ac:dyDescent="0.2">
      <c r="A293" s="64" t="s">
        <v>73</v>
      </c>
      <c r="B293" s="54"/>
      <c r="C293" s="55"/>
      <c r="D293" s="55"/>
      <c r="E293" s="55"/>
      <c r="F293" s="63"/>
    </row>
    <row r="294" spans="1:6" x14ac:dyDescent="0.2">
      <c r="A294" s="53">
        <f>E283</f>
        <v>0</v>
      </c>
      <c r="B294" s="54" t="s">
        <v>74</v>
      </c>
      <c r="C294" s="51">
        <f>計算シート!$BO$11</f>
        <v>2.5</v>
      </c>
      <c r="D294" s="54" t="s">
        <v>70</v>
      </c>
      <c r="E294" s="52">
        <f>A294*C294/100</f>
        <v>0</v>
      </c>
      <c r="F294" s="63"/>
    </row>
    <row r="295" spans="1:6" x14ac:dyDescent="0.2">
      <c r="A295" s="62" t="s">
        <v>48</v>
      </c>
      <c r="B295" s="54"/>
      <c r="C295" s="54"/>
      <c r="D295" s="55"/>
      <c r="E295" s="55"/>
      <c r="F295" s="63"/>
    </row>
    <row r="296" spans="1:6" x14ac:dyDescent="0.2">
      <c r="A296" s="52">
        <f>IF(A281="",0,計算シート!$BO$13)</f>
        <v>0</v>
      </c>
      <c r="B296" s="54" t="s">
        <v>74</v>
      </c>
      <c r="C296" s="51">
        <f>IF(計算シート!$X$32=計算シート!$BI$25,0.3,IF(計算シート!$X$32=計算シート!$BI$26,0.5,IF(計算シート!$X$32=計算シート!$BI$27,0.8,1)))</f>
        <v>1</v>
      </c>
      <c r="D296" s="54" t="s">
        <v>70</v>
      </c>
      <c r="E296" s="52">
        <f>A296*C296*F296</f>
        <v>0</v>
      </c>
      <c r="F296" s="63">
        <f>F289</f>
        <v>1</v>
      </c>
    </row>
    <row r="297" spans="1:6" ht="13.5" thickBot="1" x14ac:dyDescent="0.25">
      <c r="A297" s="65"/>
      <c r="B297" s="54"/>
      <c r="C297" s="55"/>
      <c r="D297" s="55"/>
      <c r="E297" s="58"/>
      <c r="F297" s="63"/>
    </row>
    <row r="298" spans="1:6" ht="13.5" thickBot="1" x14ac:dyDescent="0.25">
      <c r="A298" s="65"/>
      <c r="B298" s="54"/>
      <c r="C298" s="55"/>
      <c r="D298" s="55"/>
      <c r="E298" s="57">
        <f>E294+E296</f>
        <v>0</v>
      </c>
      <c r="F298" s="63"/>
    </row>
    <row r="299" spans="1:6" x14ac:dyDescent="0.2">
      <c r="A299" s="388" t="s">
        <v>76</v>
      </c>
      <c r="B299" s="388"/>
      <c r="C299" s="388"/>
      <c r="D299" s="388"/>
      <c r="E299" s="389"/>
      <c r="F299" s="63"/>
    </row>
    <row r="300" spans="1:6" x14ac:dyDescent="0.2">
      <c r="A300" s="64" t="s">
        <v>73</v>
      </c>
      <c r="B300" s="54"/>
      <c r="C300" s="55"/>
      <c r="D300" s="55"/>
      <c r="E300" s="55"/>
      <c r="F300" s="63"/>
    </row>
    <row r="301" spans="1:6" x14ac:dyDescent="0.2">
      <c r="A301" s="53">
        <f>E283</f>
        <v>0</v>
      </c>
      <c r="B301" s="54" t="s">
        <v>74</v>
      </c>
      <c r="C301" s="56">
        <f>計算シート!$BR$11</f>
        <v>1.78</v>
      </c>
      <c r="D301" s="54" t="s">
        <v>70</v>
      </c>
      <c r="E301" s="52">
        <f>A301*C301/100</f>
        <v>0</v>
      </c>
      <c r="F301" s="63"/>
    </row>
    <row r="302" spans="1:6" x14ac:dyDescent="0.2">
      <c r="A302" s="62" t="s">
        <v>48</v>
      </c>
      <c r="B302" s="54"/>
      <c r="C302" s="54"/>
      <c r="D302" s="55"/>
      <c r="E302" s="55"/>
      <c r="F302" s="63"/>
    </row>
    <row r="303" spans="1:6" x14ac:dyDescent="0.2">
      <c r="A303" s="52">
        <f>IF(A281="",0,計算シート!$BR$13)</f>
        <v>0</v>
      </c>
      <c r="B303" s="54" t="s">
        <v>74</v>
      </c>
      <c r="C303" s="51">
        <f>IF(計算シート!$X$32=計算シート!$BI$25,0.3,IF(計算シート!$X$32=計算シート!$BI$26,0.5,IF(計算シート!$X$32=計算シート!$BI$27,0.8,1)))</f>
        <v>1</v>
      </c>
      <c r="D303" s="54" t="s">
        <v>70</v>
      </c>
      <c r="E303" s="52">
        <f>A303*C303</f>
        <v>0</v>
      </c>
      <c r="F303" s="63"/>
    </row>
    <row r="304" spans="1:6" ht="13.5" thickBot="1" x14ac:dyDescent="0.25">
      <c r="A304" s="64"/>
      <c r="B304" s="54"/>
      <c r="C304" s="55"/>
      <c r="D304" s="55"/>
      <c r="E304" s="58"/>
      <c r="F304" s="63"/>
    </row>
    <row r="305" spans="1:6" ht="13.5" thickBot="1" x14ac:dyDescent="0.25">
      <c r="A305" s="64"/>
      <c r="B305" s="390" t="s">
        <v>78</v>
      </c>
      <c r="C305" s="390"/>
      <c r="D305" s="391"/>
      <c r="E305" s="57">
        <f>IF(計算シート!BC19="【介護該当】",E301+E303,0)</f>
        <v>0</v>
      </c>
      <c r="F305" s="63"/>
    </row>
    <row r="306" spans="1:6" x14ac:dyDescent="0.2">
      <c r="A306" s="388" t="s">
        <v>197</v>
      </c>
      <c r="B306" s="388"/>
      <c r="C306" s="388"/>
      <c r="D306" s="388"/>
      <c r="E306" s="389"/>
      <c r="F306" s="63"/>
    </row>
    <row r="307" spans="1:6" x14ac:dyDescent="0.2">
      <c r="A307" s="64" t="s">
        <v>198</v>
      </c>
      <c r="B307" s="170"/>
      <c r="C307" s="170"/>
      <c r="D307" s="170"/>
      <c r="E307" s="58"/>
      <c r="F307" s="63"/>
    </row>
    <row r="308" spans="1:6" x14ac:dyDescent="0.2">
      <c r="A308" s="53">
        <f>E283</f>
        <v>0</v>
      </c>
      <c r="B308" s="170" t="s">
        <v>74</v>
      </c>
      <c r="C308" s="71">
        <f>計算シート!$BU$11</f>
        <v>0.21</v>
      </c>
      <c r="D308" s="170" t="s">
        <v>70</v>
      </c>
      <c r="E308" s="53">
        <f>A308*C308/100</f>
        <v>0</v>
      </c>
      <c r="F308" s="63"/>
    </row>
    <row r="309" spans="1:6" x14ac:dyDescent="0.2">
      <c r="A309" s="64" t="s">
        <v>199</v>
      </c>
      <c r="B309" s="170"/>
      <c r="C309" s="170"/>
      <c r="D309" s="55"/>
      <c r="E309" s="58"/>
      <c r="F309" s="63"/>
    </row>
    <row r="310" spans="1:6" x14ac:dyDescent="0.2">
      <c r="A310" s="51">
        <f>IF(A281="",0,計算シート!$BU$13)</f>
        <v>0</v>
      </c>
      <c r="B310" s="170" t="s">
        <v>74</v>
      </c>
      <c r="C310" s="71">
        <f>IF(計算シート!$X$32=計算シート!$BI$25,0.3,IF(計算シート!$X$32=計算シート!$BI$26,0.5,IF(計算シート!$X$32=計算シート!$BI$27,0.8,1)))</f>
        <v>1</v>
      </c>
      <c r="D310" s="170" t="s">
        <v>70</v>
      </c>
      <c r="E310" s="53">
        <f>A310*C310*F310</f>
        <v>0</v>
      </c>
      <c r="F310" s="63">
        <f>F289</f>
        <v>1</v>
      </c>
    </row>
    <row r="311" spans="1:6" x14ac:dyDescent="0.2">
      <c r="A311" s="64" t="s">
        <v>219</v>
      </c>
      <c r="B311" s="188"/>
      <c r="C311" s="188"/>
      <c r="D311" s="188"/>
      <c r="E311" s="58"/>
      <c r="F311" s="63"/>
    </row>
    <row r="312" spans="1:6" x14ac:dyDescent="0.2">
      <c r="A312" s="51">
        <f>IF(A281="",0,計算シート!$BU$15)</f>
        <v>0</v>
      </c>
      <c r="B312" s="188" t="s">
        <v>74</v>
      </c>
      <c r="C312" s="71">
        <f>IF(計算シート!$X$32=計算シート!$BI$25,0.3,IF(計算シート!$X$32=計算シート!$BI$26,0.5,IF(計算シート!$X$32=計算シート!$BI$27,0.8,1)))</f>
        <v>1</v>
      </c>
      <c r="D312" s="188" t="s">
        <v>70</v>
      </c>
      <c r="E312" s="53">
        <f>A312*C312*F312</f>
        <v>0</v>
      </c>
      <c r="F312" s="63">
        <f>F289</f>
        <v>1</v>
      </c>
    </row>
    <row r="313" spans="1:6" ht="13.5" thickBot="1" x14ac:dyDescent="0.25">
      <c r="A313" s="64"/>
      <c r="B313" s="170"/>
      <c r="C313" s="170"/>
      <c r="D313" s="170"/>
      <c r="E313" s="58"/>
      <c r="F313" s="63"/>
    </row>
    <row r="314" spans="1:6" ht="13.5" thickBot="1" x14ac:dyDescent="0.25">
      <c r="A314" s="64"/>
      <c r="B314" s="170"/>
      <c r="C314" s="170" t="s">
        <v>210</v>
      </c>
      <c r="D314" s="170"/>
      <c r="E314" s="57">
        <f>IF(計算シート!$BC$19="【未成年該当】",0,E308+E310+E312)</f>
        <v>0</v>
      </c>
      <c r="F314" s="63"/>
    </row>
    <row r="315" spans="1:6" x14ac:dyDescent="0.2">
      <c r="A315" s="66"/>
      <c r="B315" s="67"/>
      <c r="C315" s="68"/>
      <c r="D315" s="68"/>
      <c r="E315" s="68"/>
      <c r="F315" s="69"/>
    </row>
    <row r="316" spans="1:6" x14ac:dyDescent="0.2">
      <c r="A316" s="70" t="str">
        <f>計算シート!B20</f>
        <v/>
      </c>
      <c r="B316" s="59"/>
      <c r="C316" s="60"/>
      <c r="D316" s="60"/>
      <c r="E316" s="60"/>
      <c r="F316" s="61"/>
    </row>
    <row r="317" spans="1:6" x14ac:dyDescent="0.2">
      <c r="A317" s="62" t="s">
        <v>14</v>
      </c>
      <c r="B317" s="54"/>
      <c r="C317" s="54" t="s">
        <v>69</v>
      </c>
      <c r="D317" s="55"/>
      <c r="E317" s="54" t="s">
        <v>71</v>
      </c>
      <c r="F317" s="63"/>
    </row>
    <row r="318" spans="1:6" x14ac:dyDescent="0.2">
      <c r="A318" s="52">
        <f>IF(A316="",0,計算シート!AB20)</f>
        <v>0</v>
      </c>
      <c r="B318" s="54" t="s">
        <v>68</v>
      </c>
      <c r="C318" s="52">
        <v>430000</v>
      </c>
      <c r="D318" s="54" t="s">
        <v>70</v>
      </c>
      <c r="E318" s="52">
        <f>IF((A318-C318)&lt;0,0,A318-C318)</f>
        <v>0</v>
      </c>
      <c r="F318" s="63"/>
    </row>
    <row r="319" spans="1:6" x14ac:dyDescent="0.2">
      <c r="A319" s="64"/>
      <c r="B319" s="54"/>
      <c r="C319" s="55"/>
      <c r="D319" s="55"/>
      <c r="E319" s="55"/>
      <c r="F319" s="63"/>
    </row>
    <row r="320" spans="1:6" x14ac:dyDescent="0.2">
      <c r="A320" s="388" t="s">
        <v>72</v>
      </c>
      <c r="B320" s="388"/>
      <c r="C320" s="388"/>
      <c r="D320" s="388"/>
      <c r="E320" s="388"/>
      <c r="F320" s="63"/>
    </row>
    <row r="321" spans="1:6" x14ac:dyDescent="0.2">
      <c r="A321" s="64" t="s">
        <v>73</v>
      </c>
      <c r="B321" s="54"/>
      <c r="C321" s="55"/>
      <c r="D321" s="55"/>
      <c r="E321" s="55"/>
      <c r="F321" s="63"/>
    </row>
    <row r="322" spans="1:6" x14ac:dyDescent="0.2">
      <c r="A322" s="53">
        <f>E318</f>
        <v>0</v>
      </c>
      <c r="B322" s="54" t="s">
        <v>74</v>
      </c>
      <c r="C322" s="51">
        <f>計算シート!$BL$11</f>
        <v>6.5</v>
      </c>
      <c r="D322" s="54" t="s">
        <v>70</v>
      </c>
      <c r="E322" s="52">
        <f>A322*C322/100</f>
        <v>0</v>
      </c>
      <c r="F322" s="63"/>
    </row>
    <row r="323" spans="1:6" x14ac:dyDescent="0.2">
      <c r="A323" s="62" t="s">
        <v>48</v>
      </c>
      <c r="B323" s="54"/>
      <c r="C323" s="54"/>
      <c r="D323" s="55"/>
      <c r="E323" s="55"/>
      <c r="F323" s="63"/>
    </row>
    <row r="324" spans="1:6" x14ac:dyDescent="0.2">
      <c r="A324" s="52">
        <f>IF(A316="",0,計算シート!$BL$13)</f>
        <v>0</v>
      </c>
      <c r="B324" s="54" t="s">
        <v>74</v>
      </c>
      <c r="C324" s="51">
        <f>IF(計算シート!$X$32=計算シート!$BI$25,0.3,IF(計算シート!$X$32=計算シート!$BI$26,0.5,IF(計算シート!$X$32=計算シート!$BI$27,0.8,1)))</f>
        <v>1</v>
      </c>
      <c r="D324" s="54" t="s">
        <v>70</v>
      </c>
      <c r="E324" s="52">
        <f>A324*C324*F324</f>
        <v>0</v>
      </c>
      <c r="F324" s="63">
        <f>IF(計算シート!EF20&lt;7,0.5,1)</f>
        <v>1</v>
      </c>
    </row>
    <row r="325" spans="1:6" ht="13.5" thickBot="1" x14ac:dyDescent="0.25">
      <c r="A325" s="65"/>
      <c r="B325" s="54"/>
      <c r="C325" s="55"/>
      <c r="D325" s="55"/>
      <c r="E325" s="58"/>
      <c r="F325" s="63"/>
    </row>
    <row r="326" spans="1:6" ht="13.5" thickBot="1" x14ac:dyDescent="0.25">
      <c r="A326" s="65"/>
      <c r="B326" s="54"/>
      <c r="C326" s="55"/>
      <c r="D326" s="55"/>
      <c r="E326" s="57">
        <f>E322+E324</f>
        <v>0</v>
      </c>
      <c r="F326" s="63"/>
    </row>
    <row r="327" spans="1:6" x14ac:dyDescent="0.2">
      <c r="A327" s="388" t="s">
        <v>75</v>
      </c>
      <c r="B327" s="388"/>
      <c r="C327" s="388"/>
      <c r="D327" s="388"/>
      <c r="E327" s="389"/>
      <c r="F327" s="63"/>
    </row>
    <row r="328" spans="1:6" x14ac:dyDescent="0.2">
      <c r="A328" s="64" t="s">
        <v>73</v>
      </c>
      <c r="B328" s="54"/>
      <c r="C328" s="55"/>
      <c r="D328" s="55"/>
      <c r="E328" s="55"/>
      <c r="F328" s="63"/>
    </row>
    <row r="329" spans="1:6" x14ac:dyDescent="0.2">
      <c r="A329" s="53">
        <f>E318</f>
        <v>0</v>
      </c>
      <c r="B329" s="54" t="s">
        <v>74</v>
      </c>
      <c r="C329" s="51">
        <f>計算シート!$BO$11</f>
        <v>2.5</v>
      </c>
      <c r="D329" s="54" t="s">
        <v>70</v>
      </c>
      <c r="E329" s="52">
        <f>A329*C329/100</f>
        <v>0</v>
      </c>
      <c r="F329" s="63"/>
    </row>
    <row r="330" spans="1:6" x14ac:dyDescent="0.2">
      <c r="A330" s="62" t="s">
        <v>48</v>
      </c>
      <c r="B330" s="54"/>
      <c r="C330" s="54"/>
      <c r="D330" s="55"/>
      <c r="E330" s="55"/>
      <c r="F330" s="63"/>
    </row>
    <row r="331" spans="1:6" x14ac:dyDescent="0.2">
      <c r="A331" s="52">
        <f>IF(A316="",0,計算シート!$BO$13)</f>
        <v>0</v>
      </c>
      <c r="B331" s="54" t="s">
        <v>74</v>
      </c>
      <c r="C331" s="51">
        <f>IF(計算シート!$X$32=計算シート!$BI$25,0.3,IF(計算シート!$X$32=計算シート!$BI$26,0.5,IF(計算シート!$X$32=計算シート!$BI$27,0.8,1)))</f>
        <v>1</v>
      </c>
      <c r="D331" s="54" t="s">
        <v>70</v>
      </c>
      <c r="E331" s="52">
        <f>A331*C331*F331</f>
        <v>0</v>
      </c>
      <c r="F331" s="63">
        <f>F324</f>
        <v>1</v>
      </c>
    </row>
    <row r="332" spans="1:6" ht="13.5" thickBot="1" x14ac:dyDescent="0.25">
      <c r="A332" s="65"/>
      <c r="B332" s="54"/>
      <c r="C332" s="55"/>
      <c r="D332" s="55"/>
      <c r="E332" s="58"/>
      <c r="F332" s="63"/>
    </row>
    <row r="333" spans="1:6" ht="13.5" thickBot="1" x14ac:dyDescent="0.25">
      <c r="A333" s="65"/>
      <c r="B333" s="54"/>
      <c r="C333" s="55"/>
      <c r="D333" s="55"/>
      <c r="E333" s="57">
        <f>E329+E331</f>
        <v>0</v>
      </c>
      <c r="F333" s="63"/>
    </row>
    <row r="334" spans="1:6" x14ac:dyDescent="0.2">
      <c r="A334" s="388" t="s">
        <v>76</v>
      </c>
      <c r="B334" s="388"/>
      <c r="C334" s="388"/>
      <c r="D334" s="388"/>
      <c r="E334" s="389"/>
      <c r="F334" s="63"/>
    </row>
    <row r="335" spans="1:6" x14ac:dyDescent="0.2">
      <c r="A335" s="64" t="s">
        <v>73</v>
      </c>
      <c r="B335" s="54"/>
      <c r="C335" s="55"/>
      <c r="D335" s="55"/>
      <c r="E335" s="55"/>
      <c r="F335" s="63"/>
    </row>
    <row r="336" spans="1:6" x14ac:dyDescent="0.2">
      <c r="A336" s="53">
        <f>E318</f>
        <v>0</v>
      </c>
      <c r="B336" s="54" t="s">
        <v>74</v>
      </c>
      <c r="C336" s="56">
        <f>計算シート!$BR$11</f>
        <v>1.78</v>
      </c>
      <c r="D336" s="54" t="s">
        <v>70</v>
      </c>
      <c r="E336" s="52">
        <f>A336*C336/100</f>
        <v>0</v>
      </c>
      <c r="F336" s="63"/>
    </row>
    <row r="337" spans="1:6" x14ac:dyDescent="0.2">
      <c r="A337" s="62" t="s">
        <v>48</v>
      </c>
      <c r="B337" s="54"/>
      <c r="C337" s="54"/>
      <c r="D337" s="55"/>
      <c r="E337" s="55"/>
      <c r="F337" s="63"/>
    </row>
    <row r="338" spans="1:6" x14ac:dyDescent="0.2">
      <c r="A338" s="52">
        <f>IF(A316="",0,計算シート!$BR$13)</f>
        <v>0</v>
      </c>
      <c r="B338" s="54" t="s">
        <v>74</v>
      </c>
      <c r="C338" s="51">
        <f>IF(計算シート!$X$32=計算シート!$BI$25,0.3,IF(計算シート!$X$32=計算シート!$BI$26,0.5,IF(計算シート!$X$32=計算シート!$BI$27,0.8,1)))</f>
        <v>1</v>
      </c>
      <c r="D338" s="54" t="s">
        <v>70</v>
      </c>
      <c r="E338" s="52">
        <f>A338*C338</f>
        <v>0</v>
      </c>
      <c r="F338" s="63"/>
    </row>
    <row r="339" spans="1:6" ht="13.5" thickBot="1" x14ac:dyDescent="0.25">
      <c r="A339" s="64"/>
      <c r="B339" s="54"/>
      <c r="C339" s="55"/>
      <c r="D339" s="55"/>
      <c r="E339" s="58"/>
      <c r="F339" s="63"/>
    </row>
    <row r="340" spans="1:6" ht="13.5" thickBot="1" x14ac:dyDescent="0.25">
      <c r="A340" s="64"/>
      <c r="B340" s="390" t="s">
        <v>78</v>
      </c>
      <c r="C340" s="390"/>
      <c r="D340" s="391"/>
      <c r="E340" s="57">
        <f>IF(計算シート!BC20="【介護該当】",E336+E338,0)</f>
        <v>0</v>
      </c>
      <c r="F340" s="63"/>
    </row>
    <row r="341" spans="1:6" x14ac:dyDescent="0.2">
      <c r="A341" s="388" t="s">
        <v>197</v>
      </c>
      <c r="B341" s="388"/>
      <c r="C341" s="388"/>
      <c r="D341" s="388"/>
      <c r="E341" s="389"/>
      <c r="F341" s="63"/>
    </row>
    <row r="342" spans="1:6" x14ac:dyDescent="0.2">
      <c r="A342" s="64" t="s">
        <v>198</v>
      </c>
      <c r="B342" s="170"/>
      <c r="C342" s="170"/>
      <c r="D342" s="170"/>
      <c r="E342" s="58"/>
      <c r="F342" s="63"/>
    </row>
    <row r="343" spans="1:6" x14ac:dyDescent="0.2">
      <c r="A343" s="53">
        <f>E318</f>
        <v>0</v>
      </c>
      <c r="B343" s="170" t="s">
        <v>74</v>
      </c>
      <c r="C343" s="71">
        <f>計算シート!$BU$11</f>
        <v>0.21</v>
      </c>
      <c r="D343" s="170" t="s">
        <v>70</v>
      </c>
      <c r="E343" s="53">
        <f>A343*C343/100</f>
        <v>0</v>
      </c>
      <c r="F343" s="63"/>
    </row>
    <row r="344" spans="1:6" x14ac:dyDescent="0.2">
      <c r="A344" s="64" t="s">
        <v>199</v>
      </c>
      <c r="B344" s="170"/>
      <c r="C344" s="170"/>
      <c r="D344" s="55"/>
      <c r="E344" s="58"/>
      <c r="F344" s="63"/>
    </row>
    <row r="345" spans="1:6" x14ac:dyDescent="0.2">
      <c r="A345" s="51">
        <f>IF(A316="",0,計算シート!$BU$13)</f>
        <v>0</v>
      </c>
      <c r="B345" s="170" t="s">
        <v>74</v>
      </c>
      <c r="C345" s="71">
        <f>IF(計算シート!$X$32=計算シート!$BI$25,0.3,IF(計算シート!$X$32=計算シート!$BI$26,0.5,IF(計算シート!$X$32=計算シート!$BI$27,0.8,1)))</f>
        <v>1</v>
      </c>
      <c r="D345" s="170" t="s">
        <v>70</v>
      </c>
      <c r="E345" s="53">
        <f>A345*C345*F345</f>
        <v>0</v>
      </c>
      <c r="F345" s="63">
        <f>F324</f>
        <v>1</v>
      </c>
    </row>
    <row r="346" spans="1:6" x14ac:dyDescent="0.2">
      <c r="A346" s="64" t="s">
        <v>219</v>
      </c>
      <c r="B346" s="188"/>
      <c r="C346" s="188"/>
      <c r="D346" s="188"/>
      <c r="E346" s="58"/>
      <c r="F346" s="63"/>
    </row>
    <row r="347" spans="1:6" x14ac:dyDescent="0.2">
      <c r="A347" s="51">
        <f>IF(A316="",0,計算シート!$BU$15)</f>
        <v>0</v>
      </c>
      <c r="B347" s="188" t="s">
        <v>74</v>
      </c>
      <c r="C347" s="71">
        <f>IF(計算シート!$X$32=計算シート!$BI$25,0.3,IF(計算シート!$X$32=計算シート!$BI$26,0.5,IF(計算シート!$X$32=計算シート!$BI$27,0.8,1)))</f>
        <v>1</v>
      </c>
      <c r="D347" s="188" t="s">
        <v>70</v>
      </c>
      <c r="E347" s="53">
        <f>A347*C347*F347</f>
        <v>0</v>
      </c>
      <c r="F347" s="63">
        <f>F324</f>
        <v>1</v>
      </c>
    </row>
    <row r="348" spans="1:6" ht="13.5" thickBot="1" x14ac:dyDescent="0.25">
      <c r="A348" s="64"/>
      <c r="B348" s="170"/>
      <c r="C348" s="170"/>
      <c r="D348" s="170"/>
      <c r="E348" s="58"/>
      <c r="F348" s="63"/>
    </row>
    <row r="349" spans="1:6" ht="13.5" thickBot="1" x14ac:dyDescent="0.25">
      <c r="A349" s="64"/>
      <c r="B349" s="170"/>
      <c r="C349" s="170" t="s">
        <v>210</v>
      </c>
      <c r="D349" s="170"/>
      <c r="E349" s="57">
        <f>IF(計算シート!$BC$20="【未成年該当】",0,E343+E345+E347)</f>
        <v>0</v>
      </c>
      <c r="F349" s="63"/>
    </row>
    <row r="350" spans="1:6" x14ac:dyDescent="0.2">
      <c r="A350" s="66"/>
      <c r="B350" s="67"/>
      <c r="C350" s="68"/>
      <c r="D350" s="68"/>
      <c r="E350" s="68"/>
      <c r="F350" s="69"/>
    </row>
  </sheetData>
  <sheetProtection algorithmName="SHA-512" hashValue="nPf/gGbTPnKdQXE3hGg/pqgBqnfUVNU8Pu54xIBpsT70HlpJk32weJGzRjgJGT5Q7CWJhbiuW2L5q2azvCexSQ==" saltValue="JrjvoiHcoUgx6r2fRsT+IA==" spinCount="100000" sheet="1" selectLockedCells="1"/>
  <mergeCells count="50">
    <mergeCell ref="A131:E131"/>
    <mergeCell ref="A47:E47"/>
    <mergeCell ref="A5:E5"/>
    <mergeCell ref="A12:E12"/>
    <mergeCell ref="A19:E19"/>
    <mergeCell ref="B25:D25"/>
    <mergeCell ref="A40:E40"/>
    <mergeCell ref="A26:E26"/>
    <mergeCell ref="A201:E201"/>
    <mergeCell ref="A236:E236"/>
    <mergeCell ref="A152:E152"/>
    <mergeCell ref="A54:E54"/>
    <mergeCell ref="B60:D60"/>
    <mergeCell ref="A75:E75"/>
    <mergeCell ref="A82:E82"/>
    <mergeCell ref="A89:E89"/>
    <mergeCell ref="B95:D95"/>
    <mergeCell ref="A110:E110"/>
    <mergeCell ref="A117:E117"/>
    <mergeCell ref="A124:E124"/>
    <mergeCell ref="B130:D130"/>
    <mergeCell ref="A145:E145"/>
    <mergeCell ref="A61:E61"/>
    <mergeCell ref="A96:E96"/>
    <mergeCell ref="B305:D305"/>
    <mergeCell ref="A271:E271"/>
    <mergeCell ref="A306:E306"/>
    <mergeCell ref="A257:E257"/>
    <mergeCell ref="A159:E159"/>
    <mergeCell ref="B165:D165"/>
    <mergeCell ref="A180:E180"/>
    <mergeCell ref="A187:E187"/>
    <mergeCell ref="A194:E194"/>
    <mergeCell ref="B200:D200"/>
    <mergeCell ref="A215:E215"/>
    <mergeCell ref="A222:E222"/>
    <mergeCell ref="A229:E229"/>
    <mergeCell ref="B235:D235"/>
    <mergeCell ref="A250:E250"/>
    <mergeCell ref="A166:E166"/>
    <mergeCell ref="A264:E264"/>
    <mergeCell ref="B270:D270"/>
    <mergeCell ref="A285:E285"/>
    <mergeCell ref="A292:E292"/>
    <mergeCell ref="A299:E299"/>
    <mergeCell ref="A341:E341"/>
    <mergeCell ref="A320:E320"/>
    <mergeCell ref="A327:E327"/>
    <mergeCell ref="A334:E334"/>
    <mergeCell ref="B340:D340"/>
  </mergeCells>
  <phoneticPr fontId="2"/>
  <conditionalFormatting sqref="E1">
    <cfRule type="containsText" dxfId="0" priority="1" operator="containsText" text="擬主">
      <formula>NOT(ISERROR(SEARCH("擬主",E1)))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15"/>
  <sheetViews>
    <sheetView workbookViewId="0">
      <selection activeCell="C15" sqref="C15"/>
    </sheetView>
  </sheetViews>
  <sheetFormatPr defaultRowHeight="13" x14ac:dyDescent="0.2"/>
  <cols>
    <col min="2" max="4" width="18.7265625" customWidth="1"/>
  </cols>
  <sheetData>
    <row r="1" spans="1:5" x14ac:dyDescent="0.2">
      <c r="A1" s="100" t="s">
        <v>100</v>
      </c>
      <c r="B1" s="101" t="s">
        <v>33</v>
      </c>
      <c r="C1" s="102" t="s">
        <v>113</v>
      </c>
      <c r="D1" s="103"/>
      <c r="E1" s="55"/>
    </row>
    <row r="2" spans="1:5" x14ac:dyDescent="0.2">
      <c r="A2" s="100" t="s">
        <v>101</v>
      </c>
      <c r="B2" s="137">
        <f>C2+1</f>
        <v>46143</v>
      </c>
      <c r="C2" s="134">
        <f>DATEVALUE($D$2&amp;"/"&amp;"4"&amp;"/"&amp;"30")</f>
        <v>46142</v>
      </c>
      <c r="D2" s="133">
        <v>2026</v>
      </c>
      <c r="E2" t="s">
        <v>142</v>
      </c>
    </row>
    <row r="3" spans="1:5" x14ac:dyDescent="0.2">
      <c r="A3" s="100" t="s">
        <v>102</v>
      </c>
      <c r="B3" s="137">
        <f t="shared" ref="B3:B13" si="0">C3+1</f>
        <v>46174</v>
      </c>
      <c r="C3" s="134">
        <f>DATEVALUE($D$2&amp;"/"&amp;"5"&amp;"/"&amp;"31")</f>
        <v>46173</v>
      </c>
      <c r="D3" s="104"/>
    </row>
    <row r="4" spans="1:5" x14ac:dyDescent="0.2">
      <c r="A4" s="100" t="s">
        <v>103</v>
      </c>
      <c r="B4" s="137">
        <f t="shared" si="0"/>
        <v>46204</v>
      </c>
      <c r="C4" s="134">
        <f>DATEVALUE($D$2&amp;"/"&amp;"6"&amp;"/"&amp;"30")</f>
        <v>46203</v>
      </c>
      <c r="D4" s="104"/>
    </row>
    <row r="5" spans="1:5" x14ac:dyDescent="0.2">
      <c r="A5" s="100" t="s">
        <v>104</v>
      </c>
      <c r="B5" s="137">
        <f t="shared" si="0"/>
        <v>46235</v>
      </c>
      <c r="C5" s="134">
        <f>DATEVALUE($D$2&amp;"/"&amp;"7"&amp;"/"&amp;"31")</f>
        <v>46234</v>
      </c>
      <c r="D5" s="104"/>
    </row>
    <row r="6" spans="1:5" x14ac:dyDescent="0.2">
      <c r="A6" s="100" t="s">
        <v>105</v>
      </c>
      <c r="B6" s="137">
        <f t="shared" si="0"/>
        <v>46266</v>
      </c>
      <c r="C6" s="134">
        <f>DATEVALUE($D$2&amp;"/"&amp;"8"&amp;"/"&amp;"31")</f>
        <v>46265</v>
      </c>
      <c r="D6" s="104"/>
    </row>
    <row r="7" spans="1:5" x14ac:dyDescent="0.2">
      <c r="A7" s="100" t="s">
        <v>106</v>
      </c>
      <c r="B7" s="137">
        <f t="shared" si="0"/>
        <v>46296</v>
      </c>
      <c r="C7" s="134">
        <f>DATEVALUE($D$2&amp;"/"&amp;"9"&amp;"/"&amp;"30")</f>
        <v>46295</v>
      </c>
      <c r="D7" s="104"/>
    </row>
    <row r="8" spans="1:5" x14ac:dyDescent="0.2">
      <c r="A8" s="100" t="s">
        <v>107</v>
      </c>
      <c r="B8" s="137">
        <f t="shared" si="0"/>
        <v>46327</v>
      </c>
      <c r="C8" s="134">
        <f>DATEVALUE($D$2&amp;"/"&amp;"10"&amp;"/"&amp;"31")</f>
        <v>46326</v>
      </c>
      <c r="D8" s="104"/>
    </row>
    <row r="9" spans="1:5" x14ac:dyDescent="0.2">
      <c r="A9" s="100" t="s">
        <v>108</v>
      </c>
      <c r="B9" s="137">
        <f t="shared" si="0"/>
        <v>46357</v>
      </c>
      <c r="C9" s="134">
        <f>DATEVALUE($D$2&amp;"/"&amp;"11"&amp;"/"&amp;"30")</f>
        <v>46356</v>
      </c>
      <c r="D9" s="104"/>
    </row>
    <row r="10" spans="1:5" x14ac:dyDescent="0.2">
      <c r="A10" s="100" t="s">
        <v>109</v>
      </c>
      <c r="B10" s="137">
        <f t="shared" si="0"/>
        <v>46388</v>
      </c>
      <c r="C10" s="134">
        <f>DATEVALUE($D$2&amp;"/"&amp;"12"&amp;"/"&amp;"31")</f>
        <v>46387</v>
      </c>
      <c r="D10" s="104"/>
    </row>
    <row r="11" spans="1:5" x14ac:dyDescent="0.2">
      <c r="A11" s="100" t="s">
        <v>110</v>
      </c>
      <c r="B11" s="137">
        <f t="shared" si="0"/>
        <v>46419</v>
      </c>
      <c r="C11" s="134">
        <f>DATEVALUE($D$2+1&amp;"/"&amp;"1"&amp;"/"&amp;"31")</f>
        <v>46418</v>
      </c>
      <c r="D11" s="104"/>
    </row>
    <row r="12" spans="1:5" x14ac:dyDescent="0.2">
      <c r="A12" s="100" t="s">
        <v>111</v>
      </c>
      <c r="B12" s="137">
        <f t="shared" si="0"/>
        <v>46447</v>
      </c>
      <c r="C12" s="135">
        <v>46446</v>
      </c>
      <c r="D12" s="104" t="s">
        <v>141</v>
      </c>
    </row>
    <row r="13" spans="1:5" ht="13.5" thickBot="1" x14ac:dyDescent="0.25">
      <c r="A13" s="100" t="s">
        <v>112</v>
      </c>
      <c r="B13" s="137">
        <f t="shared" si="0"/>
        <v>46478</v>
      </c>
      <c r="C13" s="136">
        <f>DATEVALUE($D$2+1&amp;"/"&amp;"3"&amp;"/"&amp;"31")</f>
        <v>46477</v>
      </c>
      <c r="D13" s="104"/>
    </row>
    <row r="14" spans="1:5" x14ac:dyDescent="0.2">
      <c r="B14" s="168" t="s">
        <v>195</v>
      </c>
      <c r="C14" t="s">
        <v>212</v>
      </c>
    </row>
    <row r="15" spans="1:5" x14ac:dyDescent="0.2">
      <c r="B15" s="169">
        <f>DATEVALUE($D$2+1&amp;"/"&amp;"4"&amp;"/"&amp;"1")</f>
        <v>46478</v>
      </c>
      <c r="C15" s="175">
        <f>DATEVALUE($D$2&amp;"/"&amp;"4"&amp;"/"&amp;"1")</f>
        <v>46113</v>
      </c>
    </row>
  </sheetData>
  <sheetProtection algorithmName="SHA-512" hashValue="b+5WlctwNJJmfo43zVzlSiJkGytr2QF/dyTs+q8FZMZcU+F5E7/1vi7qd4CPrBBPnhK5nGIw73HvrNnNLtDUcw==" saltValue="71ampxJcXNxVIYJwbH/9qA==" spinCount="100000" sheet="1" selectLockedCell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計算シート</vt:lpstr>
      <vt:lpstr>用語集</vt:lpstr>
      <vt:lpstr>年金計算</vt:lpstr>
      <vt:lpstr>給与計算</vt:lpstr>
      <vt:lpstr>給与・年金</vt:lpstr>
      <vt:lpstr>申告書</vt:lpstr>
      <vt:lpstr>個人明細</vt:lpstr>
      <vt:lpstr>日付</vt:lpstr>
      <vt:lpstr>計算シート!Print_Area</vt:lpstr>
      <vt:lpstr>年金計算!Print_Area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omc10762</dc:creator>
  <cp:lastModifiedBy>ous12006</cp:lastModifiedBy>
  <cp:lastPrinted>2026-03-13T09:47:34Z</cp:lastPrinted>
  <dcterms:created xsi:type="dcterms:W3CDTF">2006-09-16T00:00:00Z</dcterms:created>
  <dcterms:modified xsi:type="dcterms:W3CDTF">2026-03-25T01:41:11Z</dcterms:modified>
</cp:coreProperties>
</file>