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0本庁\2001上下水道部経営課\1001料金改定\1005 R6料金改定\01 上水\06_料金表\"/>
    </mc:Choice>
  </mc:AlternateContent>
  <workbookProtection workbookAlgorithmName="SHA-512" workbookHashValue="qtmnb+meNgrHLsLa3G7QFJ5f0jjxPFYsHka+HD8bmCSLCE+fKgmC17eM8PSC2dcelTKChJ6Nd0RJGrNgpv3tdQ==" workbookSaltValue="PmnjcL5h2hCz134hQZuBBA==" workbookSpinCount="100000" lockStructure="1"/>
  <bookViews>
    <workbookView xWindow="0" yWindow="0" windowWidth="19200" windowHeight="11370"/>
  </bookViews>
  <sheets>
    <sheet name="自動計算シート" sheetId="1" r:id="rId1"/>
    <sheet name="料金表" sheetId="2" state="hidden" r:id="rId2"/>
  </sheets>
  <definedNames>
    <definedName name="_xlnm.Print_Area" localSheetId="0">自動計算シート!$A$1:$I$42</definedName>
  </definedNames>
  <calcPr calcId="162913"/>
</workbook>
</file>

<file path=xl/calcChain.xml><?xml version="1.0" encoding="utf-8"?>
<calcChain xmlns="http://schemas.openxmlformats.org/spreadsheetml/2006/main">
  <c r="B31" i="2" l="1"/>
  <c r="B30" i="2"/>
  <c r="E22" i="1" l="1"/>
  <c r="E18" i="1"/>
  <c r="A19" i="1" l="1"/>
  <c r="A23" i="1"/>
  <c r="B33" i="2" l="1"/>
  <c r="B32" i="2"/>
  <c r="B29" i="2"/>
  <c r="B28" i="2"/>
  <c r="J24" i="2"/>
  <c r="J23" i="2"/>
  <c r="J25" i="2"/>
  <c r="J22" i="2"/>
  <c r="J21" i="2"/>
  <c r="J20" i="2"/>
  <c r="J19" i="2"/>
  <c r="N24" i="2" l="1"/>
  <c r="M24" i="2"/>
  <c r="M22" i="2"/>
  <c r="N22" i="2"/>
  <c r="M19" i="2"/>
  <c r="N19" i="2"/>
  <c r="N25" i="2"/>
  <c r="M25" i="2"/>
  <c r="N20" i="2"/>
  <c r="M20" i="2"/>
  <c r="M23" i="2"/>
  <c r="N23" i="2"/>
  <c r="N21" i="2"/>
  <c r="M21" i="2"/>
  <c r="K22" i="2"/>
  <c r="P25" i="2"/>
  <c r="O20" i="2"/>
  <c r="L23" i="2"/>
  <c r="L19" i="2"/>
  <c r="P21" i="2"/>
  <c r="O24" i="2"/>
  <c r="P23" i="2"/>
  <c r="K19" i="2"/>
  <c r="L20" i="2"/>
  <c r="L24" i="2"/>
  <c r="K21" i="2"/>
  <c r="O21" i="2"/>
  <c r="O25" i="2"/>
  <c r="L21" i="2"/>
  <c r="P22" i="2"/>
  <c r="K25" i="2"/>
  <c r="L25" i="2"/>
  <c r="O22" i="2"/>
  <c r="P19" i="2"/>
  <c r="J26" i="2"/>
  <c r="J27" i="2" s="1"/>
  <c r="K24" i="2"/>
  <c r="K20" i="2"/>
  <c r="P24" i="2"/>
  <c r="O23" i="2"/>
  <c r="L22" i="2"/>
  <c r="P20" i="2"/>
  <c r="O19" i="2"/>
  <c r="K23" i="2"/>
  <c r="J7" i="2"/>
  <c r="K7" i="2" s="1"/>
  <c r="J6" i="2"/>
  <c r="K6" i="2" s="1"/>
  <c r="J5" i="2"/>
  <c r="K5" i="2" s="1"/>
  <c r="J4" i="2"/>
  <c r="K4" i="2" s="1"/>
  <c r="N26" i="2" l="1"/>
  <c r="C31" i="2" s="1"/>
  <c r="M26" i="2"/>
  <c r="C30" i="2" s="1"/>
  <c r="L26" i="2"/>
  <c r="O26" i="2"/>
  <c r="C32" i="2" s="1"/>
  <c r="P26" i="2"/>
  <c r="C33" i="2" s="1"/>
  <c r="K26" i="2"/>
  <c r="J8" i="2"/>
  <c r="K8" i="2" s="1"/>
  <c r="C29" i="2" l="1"/>
  <c r="C28" i="2"/>
  <c r="C23" i="1" s="1"/>
  <c r="E23" i="1" s="1"/>
  <c r="K9" i="2"/>
  <c r="J9" i="2"/>
  <c r="J10" i="2" s="1"/>
  <c r="C19" i="1" l="1"/>
  <c r="E19" i="1" s="1"/>
  <c r="G23" i="1"/>
  <c r="G19" i="1" l="1"/>
  <c r="G26" i="1" s="1"/>
</calcChain>
</file>

<file path=xl/sharedStrings.xml><?xml version="1.0" encoding="utf-8"?>
<sst xmlns="http://schemas.openxmlformats.org/spreadsheetml/2006/main" count="109" uniqueCount="100">
  <si>
    <t>条件</t>
    <rPh sb="0" eb="2">
      <t>ジョウケン</t>
    </rPh>
    <phoneticPr fontId="1"/>
  </si>
  <si>
    <t>メーター口径</t>
    <phoneticPr fontId="1"/>
  </si>
  <si>
    <t>㎥</t>
    <phoneticPr fontId="1"/>
  </si>
  <si>
    <t>mm</t>
    <phoneticPr fontId="1"/>
  </si>
  <si>
    <t>口径</t>
    <rPh sb="0" eb="2">
      <t>コウケイ</t>
    </rPh>
    <phoneticPr fontId="1"/>
  </si>
  <si>
    <t>基本料金</t>
    <rPh sb="0" eb="2">
      <t>キホン</t>
    </rPh>
    <rPh sb="2" eb="4">
      <t>リョウキン</t>
    </rPh>
    <phoneticPr fontId="1"/>
  </si>
  <si>
    <t>基本料金</t>
    <phoneticPr fontId="1"/>
  </si>
  <si>
    <t>従量料金</t>
    <phoneticPr fontId="1"/>
  </si>
  <si>
    <t>従量料金水量</t>
    <rPh sb="0" eb="2">
      <t>ジュウリョウ</t>
    </rPh>
    <rPh sb="2" eb="4">
      <t>リョウキン</t>
    </rPh>
    <rPh sb="4" eb="6">
      <t>スイリョウ</t>
    </rPh>
    <phoneticPr fontId="1"/>
  </si>
  <si>
    <t>10まで</t>
    <phoneticPr fontId="1"/>
  </si>
  <si>
    <t>20まで</t>
    <phoneticPr fontId="1"/>
  </si>
  <si>
    <t>30まで</t>
    <phoneticPr fontId="1"/>
  </si>
  <si>
    <t>50まで</t>
    <phoneticPr fontId="1"/>
  </si>
  <si>
    <t>51から</t>
    <phoneticPr fontId="1"/>
  </si>
  <si>
    <t>従量料金</t>
    <phoneticPr fontId="1"/>
  </si>
  <si>
    <t>下水道等使用料</t>
    <rPh sb="0" eb="3">
      <t>ゲスイドウ</t>
    </rPh>
    <rPh sb="3" eb="4">
      <t>トウ</t>
    </rPh>
    <rPh sb="4" eb="7">
      <t>シヨウリョウ</t>
    </rPh>
    <phoneticPr fontId="6"/>
  </si>
  <si>
    <t>汚水排除量</t>
    <rPh sb="0" eb="2">
      <t>オスイ</t>
    </rPh>
    <rPh sb="2" eb="4">
      <t>ハイジョ</t>
    </rPh>
    <rPh sb="4" eb="5">
      <t>リョウ</t>
    </rPh>
    <phoneticPr fontId="6"/>
  </si>
  <si>
    <t>基本料金</t>
    <rPh sb="0" eb="2">
      <t>キホン</t>
    </rPh>
    <rPh sb="2" eb="4">
      <t>リョウキン</t>
    </rPh>
    <phoneticPr fontId="6"/>
  </si>
  <si>
    <t>1～10</t>
    <phoneticPr fontId="6"/>
  </si>
  <si>
    <t>11～20</t>
    <phoneticPr fontId="6"/>
  </si>
  <si>
    <t>21～30</t>
    <phoneticPr fontId="6"/>
  </si>
  <si>
    <t>31～40</t>
    <phoneticPr fontId="6"/>
  </si>
  <si>
    <t>41～50</t>
    <phoneticPr fontId="6"/>
  </si>
  <si>
    <t>51～100</t>
    <phoneticPr fontId="6"/>
  </si>
  <si>
    <t>101～</t>
    <phoneticPr fontId="6"/>
  </si>
  <si>
    <t>従量料金</t>
    <rPh sb="0" eb="2">
      <t>ジュウリョウ</t>
    </rPh>
    <rPh sb="2" eb="4">
      <t>リョウキン</t>
    </rPh>
    <phoneticPr fontId="1"/>
  </si>
  <si>
    <t>従量料金水量</t>
    <rPh sb="0" eb="2">
      <t>ジュウリョウ</t>
    </rPh>
    <rPh sb="2" eb="4">
      <t>リョウキン</t>
    </rPh>
    <rPh sb="4" eb="6">
      <t>スイリョウ</t>
    </rPh>
    <phoneticPr fontId="1"/>
  </si>
  <si>
    <t>40まで</t>
    <phoneticPr fontId="1"/>
  </si>
  <si>
    <t>100まで</t>
    <phoneticPr fontId="1"/>
  </si>
  <si>
    <t>101から</t>
    <phoneticPr fontId="1"/>
  </si>
  <si>
    <t>公共</t>
    <rPh sb="0" eb="2">
      <t>コウキョウ</t>
    </rPh>
    <phoneticPr fontId="1"/>
  </si>
  <si>
    <t>農集</t>
    <rPh sb="0" eb="2">
      <t>ノウシュウ</t>
    </rPh>
    <phoneticPr fontId="1"/>
  </si>
  <si>
    <t>浄化槽</t>
    <rPh sb="0" eb="3">
      <t>ジョウカソウ</t>
    </rPh>
    <phoneticPr fontId="1"/>
  </si>
  <si>
    <t>汚水</t>
    <rPh sb="0" eb="2">
      <t>オスイ</t>
    </rPh>
    <phoneticPr fontId="1"/>
  </si>
  <si>
    <t>合計</t>
    <rPh sb="0" eb="2">
      <t>ゴウケイ</t>
    </rPh>
    <phoneticPr fontId="1"/>
  </si>
  <si>
    <t>水道使用料</t>
    <rPh sb="0" eb="2">
      <t>スイドウ</t>
    </rPh>
    <rPh sb="2" eb="4">
      <t>シヨウ</t>
    </rPh>
    <rPh sb="4" eb="5">
      <t>リョウ</t>
    </rPh>
    <phoneticPr fontId="1"/>
  </si>
  <si>
    <t>★水道料金</t>
    <rPh sb="1" eb="3">
      <t>スイドウ</t>
    </rPh>
    <rPh sb="3" eb="5">
      <t>リョウキン</t>
    </rPh>
    <phoneticPr fontId="1"/>
  </si>
  <si>
    <t>下水道の種類</t>
    <rPh sb="0" eb="3">
      <t>ゲスイドウ</t>
    </rPh>
    <rPh sb="4" eb="6">
      <t>シュルイ</t>
    </rPh>
    <phoneticPr fontId="1"/>
  </si>
  <si>
    <t>水道料金ご請求額</t>
    <rPh sb="0" eb="2">
      <t>スイドウ</t>
    </rPh>
    <rPh sb="2" eb="4">
      <t>リョウキン</t>
    </rPh>
    <rPh sb="5" eb="7">
      <t>セイキュウ</t>
    </rPh>
    <rPh sb="7" eb="8">
      <t>ガク</t>
    </rPh>
    <phoneticPr fontId="1"/>
  </si>
  <si>
    <t>公共下水道</t>
    <rPh sb="0" eb="2">
      <t>コウキョウ</t>
    </rPh>
    <rPh sb="2" eb="5">
      <t>ゲスイドウ</t>
    </rPh>
    <phoneticPr fontId="6"/>
  </si>
  <si>
    <t>農業集落排水施設</t>
    <rPh sb="0" eb="2">
      <t>ノウギョウ</t>
    </rPh>
    <rPh sb="2" eb="4">
      <t>シュウラク</t>
    </rPh>
    <rPh sb="4" eb="6">
      <t>ハイスイ</t>
    </rPh>
    <rPh sb="6" eb="8">
      <t>シセツ</t>
    </rPh>
    <phoneticPr fontId="6"/>
  </si>
  <si>
    <t>市営浄化槽</t>
    <rPh sb="0" eb="2">
      <t>シエイ</t>
    </rPh>
    <rPh sb="2" eb="5">
      <t>ジョウカソウ</t>
    </rPh>
    <phoneticPr fontId="6"/>
  </si>
  <si>
    <t>汚水処理施設</t>
    <rPh sb="0" eb="2">
      <t>オスイ</t>
    </rPh>
    <rPh sb="2" eb="4">
      <t>ショリ</t>
    </rPh>
    <rPh sb="4" eb="6">
      <t>シセツ</t>
    </rPh>
    <phoneticPr fontId="6"/>
  </si>
  <si>
    <t>下水道料金ご請求額</t>
    <rPh sb="0" eb="3">
      <t>ゲスイドウ</t>
    </rPh>
    <rPh sb="3" eb="5">
      <t>リョウキン</t>
    </rPh>
    <rPh sb="6" eb="8">
      <t>セイキュウ</t>
    </rPh>
    <rPh sb="8" eb="9">
      <t>ガク</t>
    </rPh>
    <phoneticPr fontId="1"/>
  </si>
  <si>
    <t>01公共下水道</t>
    <rPh sb="2" eb="4">
      <t>コウキョウ</t>
    </rPh>
    <rPh sb="4" eb="7">
      <t>ゲスイドウ</t>
    </rPh>
    <phoneticPr fontId="1"/>
  </si>
  <si>
    <t>03市営浄化槽</t>
    <rPh sb="2" eb="4">
      <t>シエイ</t>
    </rPh>
    <rPh sb="4" eb="7">
      <t>ジョウカソウ</t>
    </rPh>
    <phoneticPr fontId="1"/>
  </si>
  <si>
    <t>04汚水処理施設</t>
    <rPh sb="2" eb="4">
      <t>オスイ</t>
    </rPh>
    <rPh sb="4" eb="6">
      <t>ショリ</t>
    </rPh>
    <rPh sb="6" eb="8">
      <t>シセツ</t>
    </rPh>
    <phoneticPr fontId="1"/>
  </si>
  <si>
    <t>合計ご請求額</t>
    <rPh sb="0" eb="2">
      <t>ゴウケイ</t>
    </rPh>
    <rPh sb="3" eb="5">
      <t>セイキュウ</t>
    </rPh>
    <rPh sb="5" eb="6">
      <t>ガク</t>
    </rPh>
    <phoneticPr fontId="1"/>
  </si>
  <si>
    <t>00下水道無し</t>
    <rPh sb="2" eb="5">
      <t>ゲスイドウ</t>
    </rPh>
    <rPh sb="5" eb="6">
      <t>ナ</t>
    </rPh>
    <phoneticPr fontId="1"/>
  </si>
  <si>
    <t>ryoukin</t>
    <phoneticPr fontId="1"/>
  </si>
  <si>
    <t>条件にメーター口径、使用水量及び下水道の種類を入れると、</t>
    <rPh sb="14" eb="15">
      <t>オヨ</t>
    </rPh>
    <rPh sb="16" eb="19">
      <t>ゲスイドウ</t>
    </rPh>
    <rPh sb="20" eb="22">
      <t>シュルイ</t>
    </rPh>
    <phoneticPr fontId="1"/>
  </si>
  <si>
    <t>１ヶ月当たりの上下水道料金が計算されます。</t>
    <phoneticPr fontId="1"/>
  </si>
  <si>
    <t>使用水量（汚水量）</t>
    <rPh sb="5" eb="7">
      <t>オスイ</t>
    </rPh>
    <rPh sb="7" eb="8">
      <t>リョウ</t>
    </rPh>
    <phoneticPr fontId="1"/>
  </si>
  <si>
    <t>10m3</t>
  </si>
  <si>
    <t>30m3</t>
  </si>
  <si>
    <t>14m3</t>
  </si>
  <si>
    <t>34m3</t>
  </si>
  <si>
    <t>18m3</t>
  </si>
  <si>
    <t>38m3</t>
  </si>
  <si>
    <t>22m3</t>
  </si>
  <si>
    <t>42m3</t>
  </si>
  <si>
    <t>26m3</t>
  </si>
  <si>
    <t>46m3</t>
  </si>
  <si>
    <t>1人：</t>
    <phoneticPr fontId="1"/>
  </si>
  <si>
    <t>2人：</t>
    <phoneticPr fontId="1"/>
  </si>
  <si>
    <t>3人：</t>
    <phoneticPr fontId="1"/>
  </si>
  <si>
    <t>4人：</t>
    <phoneticPr fontId="1"/>
  </si>
  <si>
    <t>5人：</t>
    <phoneticPr fontId="1"/>
  </si>
  <si>
    <t>6人：</t>
    <phoneticPr fontId="1"/>
  </si>
  <si>
    <t>7人：</t>
    <phoneticPr fontId="1"/>
  </si>
  <si>
    <t>8人：</t>
    <phoneticPr fontId="1"/>
  </si>
  <si>
    <t>9人：</t>
    <phoneticPr fontId="1"/>
  </si>
  <si>
    <t>10人：</t>
    <phoneticPr fontId="1"/>
  </si>
  <si>
    <t>※　以降１人増える毎に4ｍ3加算した水量を入力してください。</t>
    <rPh sb="2" eb="4">
      <t>イコウ</t>
    </rPh>
    <rPh sb="5" eb="6">
      <t>ニン</t>
    </rPh>
    <rPh sb="6" eb="7">
      <t>フ</t>
    </rPh>
    <rPh sb="9" eb="10">
      <t>ゴト</t>
    </rPh>
    <rPh sb="14" eb="16">
      <t>カサン</t>
    </rPh>
    <rPh sb="18" eb="20">
      <t>スイリョウ</t>
    </rPh>
    <rPh sb="21" eb="23">
      <t>ニュウリョク</t>
    </rPh>
    <phoneticPr fontId="1"/>
  </si>
  <si>
    <t>※　農業集落排水施設で次の地区に整備当初から加入されている場合は、</t>
    <rPh sb="2" eb="4">
      <t>ノウギョウ</t>
    </rPh>
    <rPh sb="4" eb="6">
      <t>シュウラク</t>
    </rPh>
    <rPh sb="6" eb="8">
      <t>ハイスイ</t>
    </rPh>
    <rPh sb="8" eb="10">
      <t>シセツ</t>
    </rPh>
    <rPh sb="11" eb="12">
      <t>ツギ</t>
    </rPh>
    <rPh sb="13" eb="15">
      <t>チク</t>
    </rPh>
    <rPh sb="16" eb="18">
      <t>セイビ</t>
    </rPh>
    <rPh sb="18" eb="20">
      <t>トウショ</t>
    </rPh>
    <rPh sb="22" eb="24">
      <t>カニュウ</t>
    </rPh>
    <rPh sb="29" eb="31">
      <t>バアイ</t>
    </rPh>
    <phoneticPr fontId="1"/>
  </si>
  <si>
    <t>岩堰地区：</t>
    <rPh sb="0" eb="1">
      <t>イワ</t>
    </rPh>
    <rPh sb="1" eb="2">
      <t>セキ</t>
    </rPh>
    <rPh sb="2" eb="4">
      <t>チク</t>
    </rPh>
    <phoneticPr fontId="1"/>
  </si>
  <si>
    <t>赤生津地区：</t>
    <rPh sb="0" eb="1">
      <t>アカ</t>
    </rPh>
    <rPh sb="1" eb="2">
      <t>イ</t>
    </rPh>
    <rPh sb="2" eb="3">
      <t>ヅ</t>
    </rPh>
    <rPh sb="3" eb="5">
      <t>チク</t>
    </rPh>
    <phoneticPr fontId="1"/>
  </si>
  <si>
    <t>834円</t>
    <rPh sb="3" eb="4">
      <t>エン</t>
    </rPh>
    <phoneticPr fontId="1"/>
  </si>
  <si>
    <t>1,590円</t>
    <rPh sb="5" eb="6">
      <t>エン</t>
    </rPh>
    <phoneticPr fontId="1"/>
  </si>
  <si>
    <t>　併せて特別使用料を加算してのご請求となります。</t>
    <phoneticPr fontId="1"/>
  </si>
  <si>
    <t>　応じた水量を入力してください。</t>
    <phoneticPr fontId="1"/>
  </si>
  <si>
    <t>　　なお、市水道と自家水道を併用されている場合は、計算方法が異なり</t>
    <rPh sb="5" eb="6">
      <t>シ</t>
    </rPh>
    <rPh sb="6" eb="8">
      <t>スイドウ</t>
    </rPh>
    <rPh sb="9" eb="11">
      <t>ジカ</t>
    </rPh>
    <rPh sb="11" eb="13">
      <t>スイドウ</t>
    </rPh>
    <rPh sb="14" eb="16">
      <t>ヘイヨウ</t>
    </rPh>
    <rPh sb="21" eb="23">
      <t>バアイ</t>
    </rPh>
    <rPh sb="25" eb="27">
      <t>ケイサン</t>
    </rPh>
    <rPh sb="27" eb="28">
      <t>ガタ</t>
    </rPh>
    <rPh sb="28" eb="29">
      <t>ホウ</t>
    </rPh>
    <rPh sb="30" eb="31">
      <t>コト</t>
    </rPh>
    <phoneticPr fontId="1"/>
  </si>
  <si>
    <t>（単位：円）</t>
    <rPh sb="1" eb="3">
      <t>タンイ</t>
    </rPh>
    <rPh sb="4" eb="5">
      <t>エン</t>
    </rPh>
    <phoneticPr fontId="1"/>
  </si>
  <si>
    <t>★適用消費税率</t>
    <rPh sb="1" eb="3">
      <t>テキヨウ</t>
    </rPh>
    <rPh sb="3" eb="6">
      <t>ショウヒゼイ</t>
    </rPh>
    <rPh sb="6" eb="7">
      <t>リツ</t>
    </rPh>
    <phoneticPr fontId="1"/>
  </si>
  <si>
    <t>:適用される消費税率を選択してください。</t>
    <rPh sb="1" eb="3">
      <t>テキヨウ</t>
    </rPh>
    <rPh sb="6" eb="9">
      <t>ショウヒゼイ</t>
    </rPh>
    <rPh sb="9" eb="10">
      <t>リツ</t>
    </rPh>
    <rPh sb="11" eb="13">
      <t>センタク</t>
    </rPh>
    <phoneticPr fontId="1"/>
  </si>
  <si>
    <t>　※令和元年９月30日以前から使用されている場合は、令和元年12月請求分から10％の適用となります。</t>
    <rPh sb="2" eb="4">
      <t>レイワ</t>
    </rPh>
    <rPh sb="4" eb="6">
      <t>ガンネン</t>
    </rPh>
    <rPh sb="7" eb="8">
      <t>ガツ</t>
    </rPh>
    <rPh sb="10" eb="11">
      <t>ニチ</t>
    </rPh>
    <rPh sb="11" eb="13">
      <t>イゼン</t>
    </rPh>
    <rPh sb="15" eb="17">
      <t>シヨウ</t>
    </rPh>
    <rPh sb="22" eb="24">
      <t>バアイ</t>
    </rPh>
    <rPh sb="26" eb="28">
      <t>レイワ</t>
    </rPh>
    <rPh sb="28" eb="30">
      <t>ガンネン</t>
    </rPh>
    <rPh sb="32" eb="33">
      <t>ガツ</t>
    </rPh>
    <rPh sb="33" eb="35">
      <t>セイキュウ</t>
    </rPh>
    <rPh sb="35" eb="36">
      <t>ブン</t>
    </rPh>
    <rPh sb="42" eb="44">
      <t>テキヨウ</t>
    </rPh>
    <phoneticPr fontId="1"/>
  </si>
  <si>
    <t>R0203まで</t>
  </si>
  <si>
    <t>R0203まで</t>
    <phoneticPr fontId="1"/>
  </si>
  <si>
    <t>R0204～R0303</t>
  </si>
  <si>
    <t>R0204～R0303</t>
    <phoneticPr fontId="1"/>
  </si>
  <si>
    <t>R0304以降</t>
    <rPh sb="5" eb="7">
      <t>イコウ</t>
    </rPh>
    <phoneticPr fontId="1"/>
  </si>
  <si>
    <t>02-1農業集落排水施設(R2年3月請求まで)</t>
    <rPh sb="4" eb="6">
      <t>ノウギョウ</t>
    </rPh>
    <rPh sb="6" eb="8">
      <t>シュウラク</t>
    </rPh>
    <rPh sb="8" eb="10">
      <t>ハイスイ</t>
    </rPh>
    <rPh sb="10" eb="12">
      <t>シセツ</t>
    </rPh>
    <rPh sb="15" eb="16">
      <t>ネン</t>
    </rPh>
    <rPh sb="17" eb="18">
      <t>ガツ</t>
    </rPh>
    <rPh sb="18" eb="20">
      <t>セイキュウ</t>
    </rPh>
    <phoneticPr fontId="1"/>
  </si>
  <si>
    <t>02-2農業集落排水施設(激変緩和R2年4月請求～R3年3月請求)</t>
    <rPh sb="4" eb="6">
      <t>ノウギョウ</t>
    </rPh>
    <rPh sb="6" eb="8">
      <t>シュウラク</t>
    </rPh>
    <rPh sb="8" eb="10">
      <t>ハイスイ</t>
    </rPh>
    <rPh sb="10" eb="12">
      <t>シセツ</t>
    </rPh>
    <rPh sb="13" eb="17">
      <t>ゲキヘンカンワ</t>
    </rPh>
    <rPh sb="19" eb="20">
      <t>ネン</t>
    </rPh>
    <rPh sb="21" eb="22">
      <t>ガツ</t>
    </rPh>
    <rPh sb="22" eb="24">
      <t>セイキュウ</t>
    </rPh>
    <rPh sb="27" eb="28">
      <t>ネン</t>
    </rPh>
    <rPh sb="29" eb="30">
      <t>ガツ</t>
    </rPh>
    <rPh sb="30" eb="32">
      <t>セイキュウ</t>
    </rPh>
    <phoneticPr fontId="1"/>
  </si>
  <si>
    <t>02-3農業集落排水施設(R3年4月請求以降)</t>
    <rPh sb="4" eb="6">
      <t>ノウギョウ</t>
    </rPh>
    <rPh sb="6" eb="8">
      <t>シュウラク</t>
    </rPh>
    <rPh sb="8" eb="10">
      <t>ハイスイ</t>
    </rPh>
    <rPh sb="10" eb="12">
      <t>シセツ</t>
    </rPh>
    <rPh sb="15" eb="16">
      <t>ネン</t>
    </rPh>
    <rPh sb="17" eb="18">
      <t>ガツ</t>
    </rPh>
    <rPh sb="18" eb="20">
      <t>セイキュウ</t>
    </rPh>
    <rPh sb="20" eb="22">
      <t>イコウ</t>
    </rPh>
    <phoneticPr fontId="1"/>
  </si>
  <si>
    <t>水道料金・下水道使用料自動計算シート</t>
    <rPh sb="0" eb="2">
      <t>スイドウ</t>
    </rPh>
    <rPh sb="2" eb="4">
      <t>リョウキン</t>
    </rPh>
    <rPh sb="5" eb="8">
      <t>ゲスイドウ</t>
    </rPh>
    <rPh sb="8" eb="11">
      <t>シヨウリョウ</t>
    </rPh>
    <rPh sb="11" eb="13">
      <t>ジドウ</t>
    </rPh>
    <rPh sb="13" eb="15">
      <t>ケイサン</t>
    </rPh>
    <phoneticPr fontId="1"/>
  </si>
  <si>
    <t>★下水道使用料</t>
    <rPh sb="1" eb="4">
      <t>ゲスイドウ</t>
    </rPh>
    <rPh sb="4" eb="7">
      <t>シヨウリョウ</t>
    </rPh>
    <phoneticPr fontId="1"/>
  </si>
  <si>
    <t>※　下水道使用料の計算の際、自家水のみの方は、次の表から居住人数に</t>
    <rPh sb="2" eb="5">
      <t>ゲスイドウ</t>
    </rPh>
    <rPh sb="5" eb="8">
      <t>シヨウリョウ</t>
    </rPh>
    <rPh sb="9" eb="11">
      <t>ケイサン</t>
    </rPh>
    <rPh sb="12" eb="13">
      <t>サイ</t>
    </rPh>
    <rPh sb="14" eb="16">
      <t>ジカ</t>
    </rPh>
    <rPh sb="16" eb="17">
      <t>スイ</t>
    </rPh>
    <rPh sb="20" eb="21">
      <t>カタ</t>
    </rPh>
    <rPh sb="23" eb="24">
      <t>ツギ</t>
    </rPh>
    <rPh sb="25" eb="26">
      <t>ヒョウ</t>
    </rPh>
    <rPh sb="28" eb="30">
      <t>キョジュウ</t>
    </rPh>
    <rPh sb="30" eb="32">
      <t>ニンズウ</t>
    </rPh>
    <phoneticPr fontId="1"/>
  </si>
  <si>
    <t>　ますので、経営課までお問い合わせください。</t>
    <rPh sb="6" eb="8">
      <t>ケイエイ</t>
    </rPh>
    <rPh sb="8" eb="9">
      <t>カ</t>
    </rPh>
    <rPh sb="12" eb="13">
      <t>ト</t>
    </rPh>
    <rPh sb="14" eb="15">
      <t>ア</t>
    </rPh>
    <phoneticPr fontId="1"/>
  </si>
  <si>
    <t>R6.4検針分（R6.5請求分）からの新水道料金対応</t>
    <rPh sb="4" eb="6">
      <t>ケンシン</t>
    </rPh>
    <rPh sb="6" eb="7">
      <t>ブン</t>
    </rPh>
    <rPh sb="12" eb="14">
      <t>セイキュウ</t>
    </rPh>
    <rPh sb="14" eb="15">
      <t>ブン</t>
    </rPh>
    <rPh sb="19" eb="20">
      <t>シン</t>
    </rPh>
    <rPh sb="20" eb="22">
      <t>スイドウ</t>
    </rPh>
    <rPh sb="22" eb="24">
      <t>リョウキン</t>
    </rPh>
    <rPh sb="24" eb="26">
      <t>タイオウ</t>
    </rPh>
    <phoneticPr fontId="1"/>
  </si>
  <si>
    <t>※下水道使用料は変更ありません。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</si>
</sst>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Meiryo"/>
      <family val="3"/>
      <charset val="128"/>
    </font>
    <font>
      <sz val="14"/>
      <color theme="1"/>
      <name val="Meiryo"/>
      <family val="3"/>
      <charset val="128"/>
    </font>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1"/>
      <color theme="1"/>
      <name val="Meiryo UI"/>
      <family val="3"/>
      <charset val="128"/>
    </font>
    <font>
      <sz val="12"/>
      <color theme="1"/>
      <name val="Meiryo UI"/>
      <family val="3"/>
      <charset val="128"/>
    </font>
    <font>
      <sz val="11"/>
      <color theme="0" tint="-0.34998626667073579"/>
      <name val="ＭＳ Ｐゴシック"/>
      <family val="2"/>
      <charset val="128"/>
      <scheme val="minor"/>
    </font>
    <font>
      <sz val="10"/>
      <color theme="1"/>
      <name val="Meiryo"/>
      <family val="3"/>
      <charset val="128"/>
    </font>
    <font>
      <b/>
      <sz val="14"/>
      <color rgb="FFFF0000"/>
      <name val="HG丸ｺﾞｼｯｸM-PRO"/>
      <family val="3"/>
      <charset val="128"/>
    </font>
    <font>
      <b/>
      <sz val="12"/>
      <color rgb="FFFF0000"/>
      <name val="HG丸ｺﾞｼｯｸM-PRO"/>
      <family val="3"/>
      <charset val="128"/>
    </font>
  </fonts>
  <fills count="11">
    <fill>
      <patternFill patternType="none"/>
    </fill>
    <fill>
      <patternFill patternType="gray125"/>
    </fill>
    <fill>
      <patternFill patternType="solid">
        <fgColor rgb="FFFFFFCC"/>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3">
    <border>
      <left/>
      <right/>
      <top/>
      <bottom/>
      <diagonal/>
    </border>
    <border>
      <left/>
      <right/>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56" fontId="0" fillId="0" borderId="0" xfId="0" quotePrefix="1" applyNumberFormat="1" applyAlignment="1">
      <alignment horizontal="right" vertical="center"/>
    </xf>
    <xf numFmtId="0" fontId="0" fillId="0" borderId="0" xfId="0" applyAlignment="1">
      <alignment horizontal="right" vertical="center"/>
    </xf>
    <xf numFmtId="0" fontId="0" fillId="0" borderId="4" xfId="0" applyBorder="1">
      <alignment vertical="center"/>
    </xf>
    <xf numFmtId="38" fontId="0" fillId="0" borderId="0" xfId="1" applyFont="1">
      <alignment vertical="center"/>
    </xf>
    <xf numFmtId="0" fontId="7" fillId="0" borderId="0" xfId="0" applyFont="1">
      <alignment vertical="center"/>
    </xf>
    <xf numFmtId="38" fontId="0" fillId="0" borderId="1" xfId="1" applyFont="1" applyBorder="1">
      <alignment vertical="center"/>
    </xf>
    <xf numFmtId="0" fontId="0" fillId="0" borderId="1" xfId="0" applyBorder="1" applyAlignment="1">
      <alignment horizontal="right" vertical="center"/>
    </xf>
    <xf numFmtId="0" fontId="0" fillId="0" borderId="0" xfId="0" applyBorder="1">
      <alignment vertical="center"/>
    </xf>
    <xf numFmtId="0" fontId="0" fillId="0" borderId="5" xfId="0" applyBorder="1">
      <alignment vertical="center"/>
    </xf>
    <xf numFmtId="0" fontId="0" fillId="0" borderId="4" xfId="0" applyBorder="1" applyAlignment="1">
      <alignment vertical="center" shrinkToFit="1"/>
    </xf>
    <xf numFmtId="38" fontId="0" fillId="0" borderId="0" xfId="0" applyNumberFormat="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3" fillId="2" borderId="3" xfId="0" applyFont="1" applyFill="1" applyBorder="1" applyProtection="1">
      <alignment vertical="center"/>
      <protection locked="0"/>
    </xf>
    <xf numFmtId="0" fontId="10" fillId="0" borderId="0" xfId="0" applyFo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pplyProtection="1">
      <alignment horizontal="right" vertical="center"/>
    </xf>
    <xf numFmtId="9" fontId="3" fillId="0" borderId="0" xfId="2" applyFont="1" applyFill="1" applyBorder="1" applyProtection="1">
      <alignment vertical="center"/>
    </xf>
    <xf numFmtId="0" fontId="11" fillId="0" borderId="0" xfId="0" applyFont="1" applyProtection="1">
      <alignment vertical="center"/>
    </xf>
    <xf numFmtId="9" fontId="3" fillId="2" borderId="3" xfId="2" applyFont="1" applyFill="1" applyBorder="1" applyAlignment="1" applyProtection="1">
      <alignment horizontal="right" vertical="center"/>
      <protection locked="0"/>
    </xf>
    <xf numFmtId="0" fontId="0" fillId="6" borderId="4" xfId="0" applyFill="1" applyBorder="1">
      <alignment vertical="center"/>
    </xf>
    <xf numFmtId="0" fontId="0" fillId="7" borderId="4" xfId="0" applyFill="1" applyBorder="1">
      <alignment vertical="center"/>
    </xf>
    <xf numFmtId="0" fontId="0" fillId="8" borderId="4" xfId="0" applyFill="1" applyBorder="1">
      <alignment vertical="center"/>
    </xf>
    <xf numFmtId="0" fontId="0" fillId="7" borderId="4" xfId="0" applyFill="1" applyBorder="1" applyAlignment="1">
      <alignment horizontal="center" vertical="center" shrinkToFit="1"/>
    </xf>
    <xf numFmtId="0" fontId="0" fillId="9" borderId="4" xfId="0" applyFill="1" applyBorder="1">
      <alignment vertical="center"/>
    </xf>
    <xf numFmtId="0" fontId="0" fillId="7" borderId="4" xfId="0" applyFill="1" applyBorder="1" applyAlignment="1">
      <alignment horizontal="center" vertical="center"/>
    </xf>
    <xf numFmtId="56" fontId="0" fillId="0" borderId="4" xfId="0" quotePrefix="1" applyNumberFormat="1" applyBorder="1" applyAlignment="1">
      <alignment horizontal="right" vertical="center"/>
    </xf>
    <xf numFmtId="38" fontId="0" fillId="0" borderId="4" xfId="1" applyFont="1" applyBorder="1">
      <alignment vertical="center"/>
    </xf>
    <xf numFmtId="38" fontId="0" fillId="8" borderId="4" xfId="1" applyFont="1" applyFill="1" applyBorder="1">
      <alignment vertical="center"/>
    </xf>
    <xf numFmtId="38" fontId="0" fillId="7" borderId="4" xfId="1" applyFont="1" applyFill="1" applyBorder="1">
      <alignment vertical="center"/>
    </xf>
    <xf numFmtId="38" fontId="0" fillId="9" borderId="4" xfId="1" applyFont="1" applyFill="1" applyBorder="1">
      <alignment vertical="center"/>
    </xf>
    <xf numFmtId="38" fontId="0" fillId="6" borderId="4" xfId="1" applyFont="1" applyFill="1" applyBorder="1">
      <alignment vertical="center"/>
    </xf>
    <xf numFmtId="0" fontId="0" fillId="0" borderId="4" xfId="0" applyBorder="1" applyAlignment="1">
      <alignment horizontal="right" vertical="center"/>
    </xf>
    <xf numFmtId="0" fontId="0" fillId="0" borderId="11" xfId="0" applyBorder="1" applyAlignment="1">
      <alignment horizontal="right" vertical="center"/>
    </xf>
    <xf numFmtId="38" fontId="0" fillId="0" borderId="11" xfId="1" applyFont="1" applyBorder="1">
      <alignment vertical="center"/>
    </xf>
    <xf numFmtId="38" fontId="0" fillId="8" borderId="11" xfId="1" applyFont="1" applyFill="1" applyBorder="1">
      <alignment vertical="center"/>
    </xf>
    <xf numFmtId="38" fontId="0" fillId="7" borderId="11" xfId="1" applyFont="1" applyFill="1" applyBorder="1">
      <alignment vertical="center"/>
    </xf>
    <xf numFmtId="38" fontId="0" fillId="9" borderId="11" xfId="1" applyFont="1" applyFill="1" applyBorder="1">
      <alignment vertical="center"/>
    </xf>
    <xf numFmtId="38" fontId="0" fillId="6" borderId="11" xfId="1" applyFont="1" applyFill="1" applyBorder="1">
      <alignment vertical="center"/>
    </xf>
    <xf numFmtId="0" fontId="0" fillId="0" borderId="12" xfId="0" applyBorder="1" applyAlignment="1">
      <alignment horizontal="right" vertical="center"/>
    </xf>
    <xf numFmtId="38" fontId="0" fillId="0" borderId="12" xfId="1" applyFont="1" applyBorder="1">
      <alignment vertical="center"/>
    </xf>
    <xf numFmtId="38" fontId="0" fillId="8" borderId="12" xfId="1" applyFont="1" applyFill="1" applyBorder="1">
      <alignment vertical="center"/>
    </xf>
    <xf numFmtId="38" fontId="0" fillId="7" borderId="12" xfId="1" applyFont="1" applyFill="1" applyBorder="1">
      <alignment vertical="center"/>
    </xf>
    <xf numFmtId="38" fontId="0" fillId="9" borderId="12" xfId="1" applyFont="1" applyFill="1" applyBorder="1">
      <alignment vertical="center"/>
    </xf>
    <xf numFmtId="38" fontId="0" fillId="6" borderId="12" xfId="1" applyFont="1" applyFill="1" applyBorder="1">
      <alignment vertical="center"/>
    </xf>
    <xf numFmtId="0" fontId="0" fillId="7" borderId="4"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8" borderId="4" xfId="0" applyFill="1" applyBorder="1" applyAlignment="1">
      <alignment vertical="center"/>
    </xf>
    <xf numFmtId="0" fontId="0" fillId="0" borderId="11" xfId="0" applyBorder="1" applyAlignment="1">
      <alignment vertical="center"/>
    </xf>
    <xf numFmtId="0" fontId="0" fillId="9" borderId="4" xfId="0" applyFill="1" applyBorder="1" applyAlignment="1">
      <alignment vertical="center"/>
    </xf>
    <xf numFmtId="0" fontId="0" fillId="6" borderId="4" xfId="0" applyFill="1" applyBorder="1" applyAlignment="1">
      <alignment vertical="center"/>
    </xf>
    <xf numFmtId="0" fontId="0" fillId="0" borderId="0" xfId="0" applyAlignment="1">
      <alignment vertical="center" wrapText="1"/>
    </xf>
    <xf numFmtId="0" fontId="12" fillId="10" borderId="0" xfId="0" applyFont="1" applyFill="1" applyAlignment="1">
      <alignment horizontal="center" wrapText="1"/>
    </xf>
    <xf numFmtId="0" fontId="12" fillId="10" borderId="0" xfId="0" applyFont="1" applyFill="1" applyAlignment="1">
      <alignment horizontal="center"/>
    </xf>
    <xf numFmtId="0" fontId="13" fillId="10" borderId="0" xfId="0" applyFont="1" applyFill="1" applyAlignment="1">
      <alignment horizontal="center" vertical="center"/>
    </xf>
    <xf numFmtId="0" fontId="4" fillId="0" borderId="0" xfId="0" applyFont="1" applyAlignment="1" applyProtection="1">
      <alignment horizontal="center" vertical="center"/>
    </xf>
    <xf numFmtId="3" fontId="9" fillId="0" borderId="2" xfId="0" applyNumberFormat="1" applyFont="1" applyBorder="1" applyAlignment="1" applyProtection="1">
      <alignment vertical="center"/>
      <protection hidden="1"/>
    </xf>
    <xf numFmtId="3" fontId="9" fillId="3" borderId="2" xfId="0" applyNumberFormat="1" applyFont="1" applyFill="1" applyBorder="1" applyAlignment="1" applyProtection="1">
      <alignment vertical="center"/>
      <protection hidden="1"/>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protection hidden="1"/>
    </xf>
    <xf numFmtId="0" fontId="8" fillId="3" borderId="1" xfId="0" applyFont="1" applyFill="1" applyBorder="1" applyAlignment="1" applyProtection="1">
      <alignment horizontal="center" vertical="center"/>
    </xf>
    <xf numFmtId="0" fontId="3" fillId="2" borderId="6"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8" fillId="5" borderId="1" xfId="0" applyFont="1" applyFill="1" applyBorder="1" applyAlignment="1" applyProtection="1">
      <alignment horizontal="center" vertical="center"/>
    </xf>
    <xf numFmtId="3" fontId="9" fillId="5" borderId="2" xfId="0" applyNumberFormat="1" applyFont="1" applyFill="1" applyBorder="1" applyAlignment="1" applyProtection="1">
      <alignment vertical="center"/>
      <protection hidden="1"/>
    </xf>
    <xf numFmtId="38" fontId="9" fillId="0" borderId="0" xfId="1" applyFont="1" applyAlignment="1" applyProtection="1">
      <alignment vertical="center"/>
      <protection hidden="1"/>
    </xf>
    <xf numFmtId="38" fontId="9" fillId="0" borderId="2" xfId="1" applyFont="1" applyBorder="1" applyAlignment="1" applyProtection="1">
      <alignment vertical="center"/>
      <protection hidden="1"/>
    </xf>
    <xf numFmtId="0" fontId="8" fillId="4" borderId="1" xfId="0" applyFont="1" applyFill="1" applyBorder="1" applyAlignment="1" applyProtection="1">
      <alignment horizontal="center" vertical="center"/>
    </xf>
    <xf numFmtId="3" fontId="9" fillId="4" borderId="0" xfId="0" applyNumberFormat="1" applyFont="1" applyFill="1" applyBorder="1" applyAlignment="1" applyProtection="1">
      <alignment vertical="center"/>
      <protection hidden="1"/>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4" xfId="0" applyFill="1" applyBorder="1" applyAlignment="1">
      <alignment horizontal="center" vertical="center"/>
    </xf>
    <xf numFmtId="0" fontId="0" fillId="6" borderId="4"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6</xdr:row>
      <xdr:rowOff>47625</xdr:rowOff>
    </xdr:from>
    <xdr:to>
      <xdr:col>8</xdr:col>
      <xdr:colOff>323850</xdr:colOff>
      <xdr:row>12</xdr:row>
      <xdr:rowOff>104775</xdr:rowOff>
    </xdr:to>
    <xdr:sp macro="" textlink="">
      <xdr:nvSpPr>
        <xdr:cNvPr id="2" name="フローチャート : 代替処理 1"/>
        <xdr:cNvSpPr/>
      </xdr:nvSpPr>
      <xdr:spPr>
        <a:xfrm>
          <a:off x="323850" y="981075"/>
          <a:ext cx="5943600" cy="1276350"/>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42"/>
  <sheetViews>
    <sheetView showGridLines="0" tabSelected="1" view="pageBreakPreview" zoomScale="85" zoomScaleNormal="85" zoomScaleSheetLayoutView="85" workbookViewId="0">
      <selection activeCell="L22" sqref="L22"/>
    </sheetView>
  </sheetViews>
  <sheetFormatPr defaultRowHeight="13.5"/>
  <cols>
    <col min="1" max="6" width="9.625" customWidth="1"/>
    <col min="7" max="7" width="9" customWidth="1"/>
    <col min="8" max="8" width="11.25" customWidth="1"/>
    <col min="9" max="9" width="9.625" customWidth="1"/>
  </cols>
  <sheetData>
    <row r="1" spans="1:11" ht="31.5" customHeight="1">
      <c r="A1" s="64" t="s">
        <v>98</v>
      </c>
      <c r="B1" s="65"/>
      <c r="C1" s="65"/>
      <c r="D1" s="65"/>
      <c r="E1" s="65"/>
      <c r="F1" s="65"/>
      <c r="G1" s="65"/>
      <c r="H1" s="65"/>
      <c r="I1" s="65"/>
    </row>
    <row r="2" spans="1:11" ht="36" customHeight="1">
      <c r="A2" s="66" t="s">
        <v>99</v>
      </c>
      <c r="B2" s="66"/>
      <c r="C2" s="66"/>
      <c r="D2" s="66"/>
      <c r="E2" s="66"/>
      <c r="F2" s="66"/>
      <c r="G2" s="66"/>
      <c r="H2" s="66"/>
      <c r="I2" s="66"/>
    </row>
    <row r="3" spans="1:11" s="1" customFormat="1" ht="36.75" customHeight="1">
      <c r="A3" s="67" t="s">
        <v>94</v>
      </c>
      <c r="B3" s="67"/>
      <c r="C3" s="67"/>
      <c r="D3" s="67"/>
      <c r="E3" s="67"/>
      <c r="F3" s="67"/>
      <c r="G3" s="67"/>
      <c r="H3" s="67"/>
      <c r="I3" s="67"/>
    </row>
    <row r="4" spans="1:11" s="1" customFormat="1" ht="6.75" customHeight="1">
      <c r="A4" s="14"/>
      <c r="B4" s="14"/>
      <c r="C4" s="14"/>
      <c r="D4" s="14"/>
      <c r="E4" s="14"/>
      <c r="F4" s="14"/>
      <c r="G4" s="14"/>
      <c r="H4" s="14"/>
      <c r="I4" s="14"/>
    </row>
    <row r="5" spans="1:11" s="1" customFormat="1" ht="15.75" customHeight="1">
      <c r="B5" s="15" t="s">
        <v>50</v>
      </c>
      <c r="C5" s="14"/>
      <c r="D5" s="14"/>
      <c r="E5" s="14"/>
      <c r="F5" s="14"/>
      <c r="G5" s="14"/>
      <c r="H5" s="14"/>
      <c r="I5" s="14"/>
    </row>
    <row r="6" spans="1:11" s="1" customFormat="1" ht="13.5" customHeight="1">
      <c r="B6" s="15" t="s">
        <v>51</v>
      </c>
      <c r="C6" s="14"/>
      <c r="D6" s="14"/>
      <c r="E6" s="14"/>
      <c r="F6" s="14"/>
      <c r="G6" s="14"/>
      <c r="H6" s="14"/>
      <c r="I6" s="14"/>
    </row>
    <row r="7" spans="1:11" s="1" customFormat="1" ht="19.5" thickBot="1">
      <c r="A7" s="14"/>
      <c r="B7" s="15"/>
      <c r="C7" s="15"/>
      <c r="D7" s="15"/>
      <c r="E7" s="15"/>
      <c r="F7" s="15"/>
      <c r="G7" s="15"/>
      <c r="H7" s="15"/>
      <c r="I7" s="15"/>
      <c r="J7" s="2"/>
      <c r="K7" s="2"/>
    </row>
    <row r="8" spans="1:11" s="1" customFormat="1" ht="19.5" thickBot="1">
      <c r="A8" s="14"/>
      <c r="B8" s="15" t="s">
        <v>0</v>
      </c>
      <c r="C8" s="15" t="s">
        <v>1</v>
      </c>
      <c r="D8" s="15"/>
      <c r="E8" s="19">
        <v>13</v>
      </c>
      <c r="F8" s="16" t="s">
        <v>3</v>
      </c>
      <c r="G8" s="15"/>
      <c r="H8" s="15"/>
      <c r="I8" s="15"/>
      <c r="J8" s="2"/>
      <c r="K8" s="2"/>
    </row>
    <row r="9" spans="1:11" s="1" customFormat="1" ht="9" customHeight="1" thickBot="1">
      <c r="A9" s="14"/>
      <c r="B9" s="15"/>
      <c r="C9" s="15"/>
      <c r="D9" s="15"/>
      <c r="E9" s="15"/>
      <c r="F9" s="15"/>
      <c r="G9" s="15"/>
      <c r="H9" s="15"/>
      <c r="I9" s="15"/>
      <c r="J9" s="2"/>
      <c r="K9" s="2"/>
    </row>
    <row r="10" spans="1:11" s="1" customFormat="1" ht="19.5" thickBot="1">
      <c r="A10" s="14"/>
      <c r="B10" s="15"/>
      <c r="C10" s="15" t="s">
        <v>52</v>
      </c>
      <c r="D10" s="15"/>
      <c r="E10" s="19">
        <v>1</v>
      </c>
      <c r="F10" s="16" t="s">
        <v>2</v>
      </c>
      <c r="G10" s="15"/>
      <c r="H10" s="15"/>
      <c r="I10" s="15"/>
      <c r="J10" s="2"/>
      <c r="K10" s="2"/>
    </row>
    <row r="11" spans="1:11" s="1" customFormat="1" ht="9" customHeight="1" thickBot="1">
      <c r="A11" s="14"/>
      <c r="B11" s="15"/>
      <c r="C11" s="15"/>
      <c r="D11" s="15"/>
      <c r="E11" s="15"/>
      <c r="F11" s="15"/>
      <c r="G11" s="15"/>
      <c r="H11" s="15"/>
      <c r="I11" s="15"/>
      <c r="J11" s="2"/>
      <c r="K11" s="2"/>
    </row>
    <row r="12" spans="1:11" s="1" customFormat="1" ht="19.5" thickBot="1">
      <c r="A12" s="14"/>
      <c r="B12" s="15"/>
      <c r="C12" s="15" t="s">
        <v>37</v>
      </c>
      <c r="D12" s="15"/>
      <c r="E12" s="73" t="s">
        <v>44</v>
      </c>
      <c r="F12" s="74"/>
      <c r="G12" s="74"/>
      <c r="H12" s="75"/>
      <c r="I12" s="15"/>
      <c r="J12" s="2"/>
      <c r="K12" s="2"/>
    </row>
    <row r="13" spans="1:11" s="1" customFormat="1" ht="18.75">
      <c r="A13" s="14"/>
      <c r="B13" s="15"/>
      <c r="C13" s="15"/>
      <c r="D13" s="15"/>
      <c r="E13" s="15"/>
      <c r="F13" s="15"/>
      <c r="G13" s="15"/>
      <c r="H13" s="15"/>
      <c r="I13" s="15"/>
      <c r="J13" s="2"/>
      <c r="K13" s="2"/>
    </row>
    <row r="14" spans="1:11" s="1" customFormat="1" ht="19.5" hidden="1" thickBot="1">
      <c r="A14" s="17" t="s">
        <v>83</v>
      </c>
      <c r="B14" s="15"/>
      <c r="C14" s="29">
        <v>0.1</v>
      </c>
      <c r="D14" s="15" t="s">
        <v>84</v>
      </c>
      <c r="E14" s="15"/>
      <c r="F14" s="15"/>
      <c r="G14" s="15"/>
      <c r="H14" s="15"/>
      <c r="I14" s="15"/>
      <c r="J14" s="2"/>
      <c r="K14" s="2"/>
    </row>
    <row r="15" spans="1:11" s="1" customFormat="1" ht="18.75" hidden="1">
      <c r="A15" s="28" t="s">
        <v>85</v>
      </c>
      <c r="C15" s="27"/>
      <c r="E15" s="15"/>
      <c r="F15" s="15"/>
      <c r="G15" s="15"/>
      <c r="H15" s="15"/>
      <c r="I15" s="15"/>
      <c r="J15" s="2"/>
      <c r="K15" s="2"/>
    </row>
    <row r="16" spans="1:11" s="1" customFormat="1" ht="18.75">
      <c r="A16" s="14"/>
      <c r="B16" s="15"/>
      <c r="C16" s="15"/>
      <c r="D16" s="15"/>
      <c r="E16" s="15"/>
      <c r="F16" s="15"/>
      <c r="G16" s="15"/>
      <c r="H16" s="15"/>
      <c r="I16" s="15"/>
      <c r="J16" s="2"/>
      <c r="K16" s="2"/>
    </row>
    <row r="17" spans="1:11" s="1" customFormat="1" ht="18.75">
      <c r="A17" s="17" t="s">
        <v>36</v>
      </c>
      <c r="B17" s="17"/>
      <c r="C17" s="17"/>
      <c r="D17" s="17"/>
      <c r="E17" s="17"/>
      <c r="F17" s="17"/>
      <c r="G17" s="17"/>
      <c r="H17" s="26" t="s">
        <v>82</v>
      </c>
      <c r="I17" s="15"/>
      <c r="J17" s="2"/>
      <c r="K17" s="2"/>
    </row>
    <row r="18" spans="1:11" s="1" customFormat="1" ht="18.75" customHeight="1" thickBot="1">
      <c r="A18" s="70" t="s">
        <v>6</v>
      </c>
      <c r="B18" s="70"/>
      <c r="C18" s="70" t="s">
        <v>7</v>
      </c>
      <c r="D18" s="70"/>
      <c r="E18" s="71" t="str">
        <f>"消費税 "&amp;$C$14*100&amp;" %"</f>
        <v>消費税 10 %</v>
      </c>
      <c r="F18" s="71"/>
      <c r="G18" s="72" t="s">
        <v>38</v>
      </c>
      <c r="H18" s="72"/>
      <c r="I18" s="14"/>
    </row>
    <row r="19" spans="1:11" s="1" customFormat="1" ht="18.75" customHeight="1" thickTop="1">
      <c r="A19" s="68">
        <f>IFERROR(VLOOKUP(E8,料金表!A3:B10,2,FALSE),0)</f>
        <v>1000</v>
      </c>
      <c r="B19" s="68"/>
      <c r="C19" s="68">
        <f>IF(E8="",0,料金表!K9)</f>
        <v>100</v>
      </c>
      <c r="D19" s="68"/>
      <c r="E19" s="68">
        <f>ROUNDDOWN((A19+C19)*$C$14,0)</f>
        <v>110</v>
      </c>
      <c r="F19" s="68"/>
      <c r="G19" s="69">
        <f>SUM(A19:F19)</f>
        <v>1210</v>
      </c>
      <c r="H19" s="69"/>
      <c r="I19" s="14"/>
    </row>
    <row r="20" spans="1:11" s="1" customFormat="1" ht="14.25" customHeight="1">
      <c r="A20" s="17"/>
      <c r="B20" s="17"/>
      <c r="C20" s="17"/>
      <c r="D20" s="17"/>
      <c r="E20" s="17"/>
      <c r="F20" s="17"/>
      <c r="G20" s="17"/>
      <c r="H20" s="17"/>
      <c r="I20" s="14"/>
    </row>
    <row r="21" spans="1:11" s="1" customFormat="1" ht="15.75">
      <c r="A21" s="17" t="s">
        <v>95</v>
      </c>
      <c r="B21" s="17"/>
      <c r="C21" s="17"/>
      <c r="D21" s="17"/>
      <c r="E21" s="17"/>
      <c r="F21" s="17"/>
      <c r="G21" s="17"/>
      <c r="H21" s="17"/>
      <c r="I21" s="14"/>
    </row>
    <row r="22" spans="1:11" ht="18.75" customHeight="1" thickBot="1">
      <c r="A22" s="70" t="s">
        <v>6</v>
      </c>
      <c r="B22" s="70"/>
      <c r="C22" s="70" t="s">
        <v>7</v>
      </c>
      <c r="D22" s="70"/>
      <c r="E22" s="71" t="str">
        <f>"消費税 "&amp;$C$14*100&amp;" %"</f>
        <v>消費税 10 %</v>
      </c>
      <c r="F22" s="71"/>
      <c r="G22" s="80" t="s">
        <v>43</v>
      </c>
      <c r="H22" s="80"/>
      <c r="I22" s="18"/>
    </row>
    <row r="23" spans="1:11" ht="18.75" customHeight="1" thickTop="1">
      <c r="A23" s="78">
        <f>IFERROR(VLOOKUP($E$12,料金表!$A$27:$C$33,2),0)</f>
        <v>1000</v>
      </c>
      <c r="B23" s="78"/>
      <c r="C23" s="78">
        <f>IFERROR(VLOOKUP($E$12,料金表!$A$27:$C$33,3),0)</f>
        <v>80</v>
      </c>
      <c r="D23" s="78"/>
      <c r="E23" s="79">
        <f>ROUNDDOWN((A23+C23)*$C$14,0)</f>
        <v>108</v>
      </c>
      <c r="F23" s="79"/>
      <c r="G23" s="81">
        <f>SUM(A23:F23)</f>
        <v>1188</v>
      </c>
      <c r="H23" s="81"/>
      <c r="I23" s="18"/>
    </row>
    <row r="24" spans="1:11" ht="14.25" customHeight="1">
      <c r="A24" s="18"/>
      <c r="B24" s="18"/>
      <c r="C24" s="18"/>
      <c r="D24" s="18"/>
      <c r="E24" s="18"/>
      <c r="F24" s="18"/>
      <c r="G24" s="18"/>
      <c r="H24" s="18"/>
      <c r="I24" s="18"/>
    </row>
    <row r="25" spans="1:11" ht="18.75" customHeight="1" thickBot="1">
      <c r="A25" s="18"/>
      <c r="B25" s="18"/>
      <c r="C25" s="18"/>
      <c r="D25" s="18"/>
      <c r="E25" s="18"/>
      <c r="F25" s="18"/>
      <c r="G25" s="76" t="s">
        <v>47</v>
      </c>
      <c r="H25" s="76"/>
      <c r="I25" s="18"/>
    </row>
    <row r="26" spans="1:11" ht="18.75" customHeight="1" thickTop="1">
      <c r="A26" s="18"/>
      <c r="B26" s="18"/>
      <c r="C26" s="18"/>
      <c r="D26" s="18"/>
      <c r="E26" s="18"/>
      <c r="F26" s="18"/>
      <c r="G26" s="77">
        <f>G19+G23</f>
        <v>2398</v>
      </c>
      <c r="H26" s="77"/>
      <c r="I26" s="18"/>
    </row>
    <row r="28" spans="1:11" ht="15.75">
      <c r="B28" s="22" t="s">
        <v>96</v>
      </c>
      <c r="C28" s="22"/>
      <c r="D28" s="22"/>
      <c r="E28" s="22"/>
      <c r="F28" s="22"/>
      <c r="G28" s="22"/>
      <c r="H28" s="22"/>
    </row>
    <row r="29" spans="1:11" ht="15.75">
      <c r="B29" s="22" t="s">
        <v>80</v>
      </c>
      <c r="C29" s="22"/>
      <c r="D29" s="22"/>
      <c r="E29" s="22"/>
      <c r="F29" s="22"/>
      <c r="G29" s="22"/>
      <c r="H29" s="22"/>
    </row>
    <row r="30" spans="1:11" ht="15.75">
      <c r="B30" s="22" t="s">
        <v>81</v>
      </c>
      <c r="C30" s="22"/>
      <c r="D30" s="22"/>
      <c r="E30" s="22"/>
      <c r="F30" s="22"/>
      <c r="G30" s="22"/>
      <c r="H30" s="22"/>
    </row>
    <row r="31" spans="1:11" ht="15.75">
      <c r="B31" s="22" t="s">
        <v>97</v>
      </c>
      <c r="C31" s="22"/>
      <c r="D31" s="22"/>
      <c r="E31" s="22"/>
      <c r="F31" s="22"/>
      <c r="G31" s="22"/>
      <c r="H31" s="22"/>
    </row>
    <row r="32" spans="1:11" ht="15.75">
      <c r="B32" s="23" t="s">
        <v>63</v>
      </c>
      <c r="C32" s="25" t="s">
        <v>53</v>
      </c>
      <c r="D32" s="23" t="s">
        <v>68</v>
      </c>
      <c r="E32" s="25" t="s">
        <v>54</v>
      </c>
      <c r="F32" s="22"/>
      <c r="G32" s="22"/>
      <c r="H32" s="22"/>
    </row>
    <row r="33" spans="2:8" ht="15.75">
      <c r="B33" s="23" t="s">
        <v>64</v>
      </c>
      <c r="C33" s="25" t="s">
        <v>55</v>
      </c>
      <c r="D33" s="23" t="s">
        <v>69</v>
      </c>
      <c r="E33" s="25" t="s">
        <v>56</v>
      </c>
      <c r="F33" s="22"/>
      <c r="G33" s="22"/>
      <c r="H33" s="22"/>
    </row>
    <row r="34" spans="2:8" ht="15.75">
      <c r="B34" s="23" t="s">
        <v>65</v>
      </c>
      <c r="C34" s="25" t="s">
        <v>57</v>
      </c>
      <c r="D34" s="23" t="s">
        <v>70</v>
      </c>
      <c r="E34" s="25" t="s">
        <v>58</v>
      </c>
      <c r="F34" s="22"/>
      <c r="G34" s="22"/>
      <c r="H34" s="22"/>
    </row>
    <row r="35" spans="2:8" ht="15.75">
      <c r="B35" s="23" t="s">
        <v>66</v>
      </c>
      <c r="C35" s="25" t="s">
        <v>59</v>
      </c>
      <c r="D35" s="23" t="s">
        <v>71</v>
      </c>
      <c r="E35" s="25" t="s">
        <v>60</v>
      </c>
      <c r="F35" s="22"/>
      <c r="G35" s="22"/>
      <c r="H35" s="22"/>
    </row>
    <row r="36" spans="2:8" ht="15.75">
      <c r="B36" s="23" t="s">
        <v>67</v>
      </c>
      <c r="C36" s="25" t="s">
        <v>61</v>
      </c>
      <c r="D36" s="23" t="s">
        <v>72</v>
      </c>
      <c r="E36" s="25" t="s">
        <v>62</v>
      </c>
      <c r="F36" s="22"/>
      <c r="G36" s="22"/>
      <c r="H36" s="22"/>
    </row>
    <row r="37" spans="2:8" ht="15.75">
      <c r="B37" s="22"/>
      <c r="C37" s="22"/>
      <c r="D37" s="24" t="s">
        <v>73</v>
      </c>
      <c r="E37" s="22"/>
      <c r="F37" s="22"/>
      <c r="G37" s="22"/>
      <c r="H37" s="22"/>
    </row>
    <row r="38" spans="2:8">
      <c r="B38" s="21"/>
    </row>
    <row r="39" spans="2:8" ht="15.75">
      <c r="B39" s="25" t="s">
        <v>74</v>
      </c>
    </row>
    <row r="40" spans="2:8" ht="15.75">
      <c r="B40" s="22" t="s">
        <v>79</v>
      </c>
    </row>
    <row r="41" spans="2:8" ht="15.75">
      <c r="C41" s="23" t="s">
        <v>75</v>
      </c>
      <c r="D41" s="23" t="s">
        <v>77</v>
      </c>
    </row>
    <row r="42" spans="2:8" ht="15.75">
      <c r="C42" s="23" t="s">
        <v>76</v>
      </c>
      <c r="D42" s="23" t="s">
        <v>78</v>
      </c>
    </row>
  </sheetData>
  <sheetProtection algorithmName="SHA-512" hashValue="UN48VmKeVjza2+Te9X89gKrYd6i87GoeXxh6ePi/dC4Z8KT25QlyrU+ThvIQfI09Ul8zOiJG/OrTbhXFeriJqQ==" saltValue="bNnGhFBE463VT6MoSDnZSg==" spinCount="100000" sheet="1" objects="1" scenarios="1"/>
  <mergeCells count="22">
    <mergeCell ref="G25:H25"/>
    <mergeCell ref="G26:H26"/>
    <mergeCell ref="A23:B23"/>
    <mergeCell ref="C22:D22"/>
    <mergeCell ref="C23:D23"/>
    <mergeCell ref="E22:F22"/>
    <mergeCell ref="E23:F23"/>
    <mergeCell ref="G22:H22"/>
    <mergeCell ref="G23:H23"/>
    <mergeCell ref="A22:B22"/>
    <mergeCell ref="A1:I1"/>
    <mergeCell ref="A2:I2"/>
    <mergeCell ref="A3:I3"/>
    <mergeCell ref="C19:D19"/>
    <mergeCell ref="E19:F19"/>
    <mergeCell ref="G19:H19"/>
    <mergeCell ref="A18:B18"/>
    <mergeCell ref="C18:D18"/>
    <mergeCell ref="E18:F18"/>
    <mergeCell ref="G18:H18"/>
    <mergeCell ref="A19:B19"/>
    <mergeCell ref="E12:H12"/>
  </mergeCells>
  <phoneticPr fontId="1"/>
  <dataValidations count="1">
    <dataValidation type="list" allowBlank="1" showInputMessage="1" showErrorMessage="1" sqref="C14:C15">
      <formula1>"0.08,0.1"</formula1>
    </dataValidation>
  </dataValidations>
  <pageMargins left="0.7086614173228347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料金表!$A$3:$A$10</xm:f>
          </x14:formula1>
          <xm:sqref>E8</xm:sqref>
        </x14:dataValidation>
        <x14:dataValidation type="list" allowBlank="1" showInputMessage="1" showErrorMessage="1">
          <x14:formula1>
            <xm:f>料金表!$A$27:$A$33</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6"/>
  <sheetViews>
    <sheetView workbookViewId="0">
      <selection activeCell="J19" sqref="J19"/>
    </sheetView>
  </sheetViews>
  <sheetFormatPr defaultRowHeight="13.5"/>
  <cols>
    <col min="1" max="1" width="46.75" customWidth="1"/>
    <col min="2" max="7" width="10.375" customWidth="1"/>
    <col min="8" max="8" width="5.125" customWidth="1"/>
    <col min="10" max="16" width="10.625" customWidth="1"/>
  </cols>
  <sheetData>
    <row r="1" spans="1:16">
      <c r="A1" t="s">
        <v>35</v>
      </c>
    </row>
    <row r="2" spans="1:16">
      <c r="A2" s="5" t="s">
        <v>4</v>
      </c>
      <c r="B2" s="5" t="s">
        <v>5</v>
      </c>
    </row>
    <row r="3" spans="1:16">
      <c r="A3" s="5">
        <v>13</v>
      </c>
      <c r="B3" s="5">
        <v>1000</v>
      </c>
      <c r="J3" t="s">
        <v>8</v>
      </c>
      <c r="K3" t="s">
        <v>14</v>
      </c>
    </row>
    <row r="4" spans="1:16">
      <c r="A4" s="5">
        <v>20</v>
      </c>
      <c r="B4" s="5">
        <v>1050</v>
      </c>
      <c r="I4" s="3" t="s">
        <v>9</v>
      </c>
      <c r="J4" s="6">
        <f>IF(自動計算シート!$E$10&lt;11,自動計算シート!$E$10,10)</f>
        <v>1</v>
      </c>
      <c r="K4" s="6">
        <f>J4*100</f>
        <v>100</v>
      </c>
    </row>
    <row r="5" spans="1:16">
      <c r="A5" s="5">
        <v>25</v>
      </c>
      <c r="B5" s="5">
        <v>1350</v>
      </c>
      <c r="I5" s="4" t="s">
        <v>10</v>
      </c>
      <c r="J5" s="6">
        <f>IF((自動計算シート!$E$10-10)&gt;10,10,IF(自動計算シート!$E$10&gt;10,自動計算シート!$E$10-10,0))</f>
        <v>0</v>
      </c>
      <c r="K5" s="6">
        <f>J5*200</f>
        <v>0</v>
      </c>
    </row>
    <row r="6" spans="1:16">
      <c r="A6" s="5">
        <v>30</v>
      </c>
      <c r="B6" s="5">
        <v>2300</v>
      </c>
      <c r="I6" s="4" t="s">
        <v>11</v>
      </c>
      <c r="J6" s="6">
        <f>IF((自動計算シート!$E$10-20)&gt;10,10,IF(自動計算シート!$E$10&gt;20,自動計算シート!$E$10-20,0))</f>
        <v>0</v>
      </c>
      <c r="K6" s="6">
        <f>J6*230</f>
        <v>0</v>
      </c>
    </row>
    <row r="7" spans="1:16">
      <c r="A7" s="5">
        <v>40</v>
      </c>
      <c r="B7" s="5">
        <v>3400</v>
      </c>
      <c r="I7" s="4" t="s">
        <v>12</v>
      </c>
      <c r="J7" s="6">
        <f>IF((自動計算シート!$E$10-30)&gt;20,20,IF(自動計算シート!$E$10&gt;30,自動計算シート!$E$10-30,0))</f>
        <v>0</v>
      </c>
      <c r="K7" s="6">
        <f>J7*250</f>
        <v>0</v>
      </c>
    </row>
    <row r="8" spans="1:16" ht="14.25" thickBot="1">
      <c r="A8" s="5">
        <v>50</v>
      </c>
      <c r="B8" s="5">
        <v>6300</v>
      </c>
      <c r="I8" s="9" t="s">
        <v>13</v>
      </c>
      <c r="J8" s="8">
        <f>IF(自動計算シート!$E$10&lt;51,0,自動計算シート!$E$10-50)</f>
        <v>0</v>
      </c>
      <c r="K8" s="8">
        <f>J8*260</f>
        <v>0</v>
      </c>
    </row>
    <row r="9" spans="1:16" ht="14.25" thickTop="1">
      <c r="A9" s="5">
        <v>75</v>
      </c>
      <c r="B9" s="5">
        <v>12100</v>
      </c>
      <c r="I9" s="4" t="s">
        <v>34</v>
      </c>
      <c r="J9" s="6">
        <f>SUM(J4:J8)</f>
        <v>1</v>
      </c>
      <c r="K9" s="6">
        <f>SUM(K4:K8)</f>
        <v>100</v>
      </c>
    </row>
    <row r="10" spans="1:16">
      <c r="A10" s="5">
        <v>100</v>
      </c>
      <c r="B10" s="5">
        <v>22000</v>
      </c>
      <c r="J10" s="7" t="b">
        <f>自動計算シート!E10=料金表!J9</f>
        <v>1</v>
      </c>
    </row>
    <row r="16" spans="1:16">
      <c r="A16" s="5" t="s">
        <v>15</v>
      </c>
      <c r="B16" s="83" t="s">
        <v>39</v>
      </c>
      <c r="C16" s="82" t="s">
        <v>40</v>
      </c>
      <c r="D16" s="82"/>
      <c r="E16" s="82"/>
      <c r="F16" s="84" t="s">
        <v>41</v>
      </c>
      <c r="G16" s="85" t="s">
        <v>42</v>
      </c>
      <c r="J16" s="56" t="s">
        <v>25</v>
      </c>
      <c r="K16" s="56"/>
      <c r="L16" s="56"/>
      <c r="M16" s="56"/>
      <c r="N16" s="56"/>
      <c r="O16" s="56"/>
      <c r="P16" s="56"/>
    </row>
    <row r="17" spans="1:16">
      <c r="A17" s="12" t="s">
        <v>16</v>
      </c>
      <c r="B17" s="83"/>
      <c r="C17" s="33" t="s">
        <v>86</v>
      </c>
      <c r="D17" s="33" t="s">
        <v>88</v>
      </c>
      <c r="E17" s="33" t="s">
        <v>90</v>
      </c>
      <c r="F17" s="84"/>
      <c r="G17" s="85"/>
      <c r="H17" s="10"/>
      <c r="I17" s="57"/>
      <c r="J17" s="58" t="s">
        <v>26</v>
      </c>
      <c r="K17" s="59" t="s">
        <v>30</v>
      </c>
      <c r="L17" s="55" t="s">
        <v>31</v>
      </c>
      <c r="M17" s="55"/>
      <c r="N17" s="55"/>
      <c r="O17" s="61" t="s">
        <v>32</v>
      </c>
      <c r="P17" s="62" t="s">
        <v>33</v>
      </c>
    </row>
    <row r="18" spans="1:16">
      <c r="A18" s="5" t="s">
        <v>17</v>
      </c>
      <c r="B18" s="32">
        <v>1000</v>
      </c>
      <c r="C18" s="31">
        <v>1000</v>
      </c>
      <c r="D18" s="31">
        <v>1000</v>
      </c>
      <c r="E18" s="31">
        <v>1000</v>
      </c>
      <c r="F18" s="34">
        <v>2667</v>
      </c>
      <c r="G18" s="30">
        <v>1000</v>
      </c>
      <c r="H18" s="10"/>
      <c r="I18" s="60"/>
      <c r="J18" s="58"/>
      <c r="K18" s="59"/>
      <c r="L18" s="35" t="s">
        <v>87</v>
      </c>
      <c r="M18" s="35" t="s">
        <v>89</v>
      </c>
      <c r="N18" s="35" t="s">
        <v>90</v>
      </c>
      <c r="O18" s="61"/>
      <c r="P18" s="62"/>
    </row>
    <row r="19" spans="1:16">
      <c r="A19" s="5" t="s">
        <v>18</v>
      </c>
      <c r="B19" s="32">
        <v>80</v>
      </c>
      <c r="C19" s="31">
        <v>60</v>
      </c>
      <c r="D19" s="31">
        <v>70</v>
      </c>
      <c r="E19" s="31">
        <v>80</v>
      </c>
      <c r="F19" s="34">
        <v>80</v>
      </c>
      <c r="G19" s="30">
        <v>80</v>
      </c>
      <c r="H19" s="10"/>
      <c r="I19" s="36" t="s">
        <v>9</v>
      </c>
      <c r="J19" s="37">
        <f>IF(自動計算シート!$E$10&lt;11,自動計算シート!$E$10,10)</f>
        <v>1</v>
      </c>
      <c r="K19" s="38">
        <f t="shared" ref="K19:P25" si="0">$J19*B19</f>
        <v>80</v>
      </c>
      <c r="L19" s="39">
        <f t="shared" si="0"/>
        <v>60</v>
      </c>
      <c r="M19" s="39">
        <f t="shared" si="0"/>
        <v>70</v>
      </c>
      <c r="N19" s="39">
        <f t="shared" si="0"/>
        <v>80</v>
      </c>
      <c r="O19" s="40">
        <f t="shared" si="0"/>
        <v>80</v>
      </c>
      <c r="P19" s="41">
        <f t="shared" si="0"/>
        <v>80</v>
      </c>
    </row>
    <row r="20" spans="1:16">
      <c r="A20" s="5" t="s">
        <v>19</v>
      </c>
      <c r="B20" s="32">
        <v>120</v>
      </c>
      <c r="C20" s="31">
        <v>80</v>
      </c>
      <c r="D20" s="31">
        <v>100</v>
      </c>
      <c r="E20" s="31">
        <v>120</v>
      </c>
      <c r="F20" s="34">
        <v>110</v>
      </c>
      <c r="G20" s="30">
        <v>120</v>
      </c>
      <c r="H20" s="10"/>
      <c r="I20" s="42" t="s">
        <v>10</v>
      </c>
      <c r="J20" s="37">
        <f>IF((自動計算シート!$E$10-10)&gt;10,10,IF(自動計算シート!$E$10&gt;10,自動計算シート!$E$10-10,0))</f>
        <v>0</v>
      </c>
      <c r="K20" s="38">
        <f t="shared" si="0"/>
        <v>0</v>
      </c>
      <c r="L20" s="39">
        <f t="shared" si="0"/>
        <v>0</v>
      </c>
      <c r="M20" s="39">
        <f t="shared" si="0"/>
        <v>0</v>
      </c>
      <c r="N20" s="39">
        <f t="shared" si="0"/>
        <v>0</v>
      </c>
      <c r="O20" s="40">
        <f t="shared" si="0"/>
        <v>0</v>
      </c>
      <c r="P20" s="41">
        <f t="shared" si="0"/>
        <v>0</v>
      </c>
    </row>
    <row r="21" spans="1:16">
      <c r="A21" s="5" t="s">
        <v>20</v>
      </c>
      <c r="B21" s="32">
        <v>140</v>
      </c>
      <c r="C21" s="31">
        <v>100</v>
      </c>
      <c r="D21" s="31">
        <v>120</v>
      </c>
      <c r="E21" s="31">
        <v>140</v>
      </c>
      <c r="F21" s="34">
        <v>130</v>
      </c>
      <c r="G21" s="30">
        <v>140</v>
      </c>
      <c r="H21" s="10"/>
      <c r="I21" s="42" t="s">
        <v>11</v>
      </c>
      <c r="J21" s="37">
        <f>IF((自動計算シート!$E$10-20)&gt;10,10,IF(自動計算シート!$E$10&gt;20,自動計算シート!$E$10-20,0))</f>
        <v>0</v>
      </c>
      <c r="K21" s="38">
        <f t="shared" si="0"/>
        <v>0</v>
      </c>
      <c r="L21" s="39">
        <f t="shared" si="0"/>
        <v>0</v>
      </c>
      <c r="M21" s="39">
        <f t="shared" si="0"/>
        <v>0</v>
      </c>
      <c r="N21" s="39">
        <f t="shared" si="0"/>
        <v>0</v>
      </c>
      <c r="O21" s="40">
        <f t="shared" si="0"/>
        <v>0</v>
      </c>
      <c r="P21" s="41">
        <f t="shared" si="0"/>
        <v>0</v>
      </c>
    </row>
    <row r="22" spans="1:16">
      <c r="A22" s="5" t="s">
        <v>21</v>
      </c>
      <c r="B22" s="32">
        <v>160</v>
      </c>
      <c r="C22" s="31">
        <v>110</v>
      </c>
      <c r="D22" s="31">
        <v>135</v>
      </c>
      <c r="E22" s="31">
        <v>160</v>
      </c>
      <c r="F22" s="34">
        <v>150</v>
      </c>
      <c r="G22" s="30">
        <v>160</v>
      </c>
      <c r="H22" s="10"/>
      <c r="I22" s="42" t="s">
        <v>27</v>
      </c>
      <c r="J22" s="37">
        <f>IF((自動計算シート!$E$10-30)&gt;10,10,IF(自動計算シート!$E$10&gt;30,自動計算シート!$E$10-30,0))</f>
        <v>0</v>
      </c>
      <c r="K22" s="38">
        <f t="shared" si="0"/>
        <v>0</v>
      </c>
      <c r="L22" s="39">
        <f t="shared" si="0"/>
        <v>0</v>
      </c>
      <c r="M22" s="39">
        <f t="shared" si="0"/>
        <v>0</v>
      </c>
      <c r="N22" s="39">
        <f t="shared" si="0"/>
        <v>0</v>
      </c>
      <c r="O22" s="40">
        <f t="shared" si="0"/>
        <v>0</v>
      </c>
      <c r="P22" s="41">
        <f t="shared" si="0"/>
        <v>0</v>
      </c>
    </row>
    <row r="23" spans="1:16">
      <c r="A23" s="5" t="s">
        <v>22</v>
      </c>
      <c r="B23" s="32">
        <v>180</v>
      </c>
      <c r="C23" s="31">
        <v>120</v>
      </c>
      <c r="D23" s="31">
        <v>150</v>
      </c>
      <c r="E23" s="31">
        <v>180</v>
      </c>
      <c r="F23" s="34">
        <v>170</v>
      </c>
      <c r="G23" s="30">
        <v>180</v>
      </c>
      <c r="H23" s="11"/>
      <c r="I23" s="42" t="s">
        <v>12</v>
      </c>
      <c r="J23" s="37">
        <f>IF((自動計算シート!$E$10-40)&gt;10,10,IF(自動計算シート!$E$10&gt;40,自動計算シート!$E$10-40,0))</f>
        <v>0</v>
      </c>
      <c r="K23" s="38">
        <f t="shared" si="0"/>
        <v>0</v>
      </c>
      <c r="L23" s="39">
        <f t="shared" si="0"/>
        <v>0</v>
      </c>
      <c r="M23" s="39">
        <f t="shared" si="0"/>
        <v>0</v>
      </c>
      <c r="N23" s="39">
        <f t="shared" si="0"/>
        <v>0</v>
      </c>
      <c r="O23" s="40">
        <f t="shared" si="0"/>
        <v>0</v>
      </c>
      <c r="P23" s="41">
        <f t="shared" si="0"/>
        <v>0</v>
      </c>
    </row>
    <row r="24" spans="1:16">
      <c r="A24" s="5" t="s">
        <v>23</v>
      </c>
      <c r="B24" s="32">
        <v>190</v>
      </c>
      <c r="C24" s="31">
        <v>130</v>
      </c>
      <c r="D24" s="31">
        <v>160</v>
      </c>
      <c r="E24" s="31">
        <v>190</v>
      </c>
      <c r="F24" s="34">
        <v>180</v>
      </c>
      <c r="G24" s="30">
        <v>190</v>
      </c>
      <c r="H24" s="10"/>
      <c r="I24" s="42" t="s">
        <v>28</v>
      </c>
      <c r="J24" s="37">
        <f>IF((自動計算シート!$E$10-90)&gt;10,50,IF(自動計算シート!$E$10&gt;50,自動計算シート!$E$10-50,0))</f>
        <v>0</v>
      </c>
      <c r="K24" s="38">
        <f t="shared" si="0"/>
        <v>0</v>
      </c>
      <c r="L24" s="39">
        <f t="shared" si="0"/>
        <v>0</v>
      </c>
      <c r="M24" s="39">
        <f t="shared" si="0"/>
        <v>0</v>
      </c>
      <c r="N24" s="39">
        <f t="shared" si="0"/>
        <v>0</v>
      </c>
      <c r="O24" s="40">
        <f t="shared" si="0"/>
        <v>0</v>
      </c>
      <c r="P24" s="41">
        <f t="shared" si="0"/>
        <v>0</v>
      </c>
    </row>
    <row r="25" spans="1:16" ht="14.25" thickBot="1">
      <c r="A25" s="5" t="s">
        <v>24</v>
      </c>
      <c r="B25" s="32">
        <v>200</v>
      </c>
      <c r="C25" s="31">
        <v>140</v>
      </c>
      <c r="D25" s="31">
        <v>170</v>
      </c>
      <c r="E25" s="31">
        <v>200</v>
      </c>
      <c r="F25" s="34">
        <v>190</v>
      </c>
      <c r="G25" s="30">
        <v>200</v>
      </c>
      <c r="H25" s="10"/>
      <c r="I25" s="49" t="s">
        <v>29</v>
      </c>
      <c r="J25" s="50">
        <f>IF(自動計算シート!$E$10&lt;101,0,自動計算シート!$E$10-100)</f>
        <v>0</v>
      </c>
      <c r="K25" s="51">
        <f t="shared" si="0"/>
        <v>0</v>
      </c>
      <c r="L25" s="52">
        <f t="shared" si="0"/>
        <v>0</v>
      </c>
      <c r="M25" s="52">
        <f t="shared" si="0"/>
        <v>0</v>
      </c>
      <c r="N25" s="52">
        <f t="shared" si="0"/>
        <v>0</v>
      </c>
      <c r="O25" s="53">
        <f t="shared" si="0"/>
        <v>0</v>
      </c>
      <c r="P25" s="54">
        <f t="shared" si="0"/>
        <v>0</v>
      </c>
    </row>
    <row r="26" spans="1:16" ht="14.25" thickTop="1">
      <c r="I26" s="43" t="s">
        <v>34</v>
      </c>
      <c r="J26" s="44">
        <f>SUM(J19:J25)</f>
        <v>1</v>
      </c>
      <c r="K26" s="45">
        <f t="shared" ref="K26:P26" si="1">SUM(K19:K25)</f>
        <v>80</v>
      </c>
      <c r="L26" s="46">
        <f t="shared" si="1"/>
        <v>60</v>
      </c>
      <c r="M26" s="46">
        <f t="shared" ref="M26:N26" si="2">SUM(M19:M25)</f>
        <v>70</v>
      </c>
      <c r="N26" s="46">
        <f t="shared" si="2"/>
        <v>80</v>
      </c>
      <c r="O26" s="47">
        <f t="shared" si="1"/>
        <v>80</v>
      </c>
      <c r="P26" s="48">
        <f t="shared" si="1"/>
        <v>80</v>
      </c>
    </row>
    <row r="27" spans="1:16">
      <c r="A27" t="s">
        <v>48</v>
      </c>
      <c r="B27">
        <v>0</v>
      </c>
      <c r="C27">
        <v>0</v>
      </c>
      <c r="J27" s="7" t="b">
        <f>自動計算シート!E10=料金表!J26</f>
        <v>1</v>
      </c>
    </row>
    <row r="28" spans="1:16">
      <c r="A28" t="s">
        <v>44</v>
      </c>
      <c r="B28">
        <f>B18</f>
        <v>1000</v>
      </c>
      <c r="C28" s="13">
        <f>K26</f>
        <v>80</v>
      </c>
    </row>
    <row r="29" spans="1:16">
      <c r="A29" s="63" t="s">
        <v>91</v>
      </c>
      <c r="B29">
        <f>C18</f>
        <v>1000</v>
      </c>
      <c r="C29" s="13">
        <f>L26</f>
        <v>60</v>
      </c>
    </row>
    <row r="30" spans="1:16">
      <c r="A30" t="s">
        <v>92</v>
      </c>
      <c r="B30">
        <f>D18</f>
        <v>1000</v>
      </c>
      <c r="C30" s="13">
        <f>M26</f>
        <v>70</v>
      </c>
    </row>
    <row r="31" spans="1:16">
      <c r="A31" t="s">
        <v>93</v>
      </c>
      <c r="B31">
        <f>E18</f>
        <v>1000</v>
      </c>
      <c r="C31" s="13">
        <f>N26</f>
        <v>80</v>
      </c>
    </row>
    <row r="32" spans="1:16">
      <c r="A32" t="s">
        <v>45</v>
      </c>
      <c r="B32">
        <f>F18</f>
        <v>2667</v>
      </c>
      <c r="C32" s="13">
        <f>O26</f>
        <v>80</v>
      </c>
    </row>
    <row r="33" spans="1:3">
      <c r="A33" t="s">
        <v>46</v>
      </c>
      <c r="B33">
        <f>G18</f>
        <v>1000</v>
      </c>
      <c r="C33" s="13">
        <f>P26</f>
        <v>80</v>
      </c>
    </row>
    <row r="36" spans="1:3">
      <c r="A36" s="20" t="s">
        <v>49</v>
      </c>
    </row>
  </sheetData>
  <sortState ref="A28:C31">
    <sortCondition ref="A28"/>
  </sortState>
  <mergeCells count="4">
    <mergeCell ref="C16:E16"/>
    <mergeCell ref="B16:B17"/>
    <mergeCell ref="F16:F17"/>
    <mergeCell ref="G16:G1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自動計算シート</vt:lpstr>
      <vt:lpstr>料金表</vt:lpstr>
      <vt:lpstr>自動計算シート!Print_Area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ous10067</dc:creator>
  <cp:lastModifiedBy>ous11066</cp:lastModifiedBy>
  <cp:lastPrinted>2023-12-11T06:41:02Z</cp:lastPrinted>
  <dcterms:created xsi:type="dcterms:W3CDTF">2018-11-26T02:09:47Z</dcterms:created>
  <dcterms:modified xsi:type="dcterms:W3CDTF">2023-12-16T06:05:40Z</dcterms:modified>
</cp:coreProperties>
</file>